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2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5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greatertzaneen-my.sharepoint.com/personal/andre_tzaneen_gov_za1/Documents/Documents/Fleet/"/>
    </mc:Choice>
  </mc:AlternateContent>
  <xr:revisionPtr revIDLastSave="0" documentId="13_ncr:81_{F45166FD-5A4E-44D2-B5D5-5D9BC037398D}" xr6:coauthVersionLast="47" xr6:coauthVersionMax="47" xr10:uidLastSave="{00000000-0000-0000-0000-000000000000}"/>
  <workbookProtection lockRevision="1"/>
  <bookViews>
    <workbookView xWindow="-110" yWindow="-110" windowWidth="19420" windowHeight="10300" tabRatio="826" activeTab="5" xr2:uid="{00000000-000D-0000-FFFF-FFFF00000000}"/>
  </bookViews>
  <sheets>
    <sheet name="mayor" sheetId="1" r:id="rId1"/>
    <sheet name="income" sheetId="2" r:id="rId2"/>
    <sheet name="workshop" sheetId="3" r:id="rId3"/>
    <sheet name="COMMUNITY SERV" sheetId="4" r:id="rId4"/>
    <sheet name="EEM" sheetId="5" r:id="rId5"/>
    <sheet name="CEM" sheetId="6" r:id="rId6"/>
    <sheet name="MDC" sheetId="7" r:id="rId7"/>
    <sheet name="BUDGET" sheetId="8" r:id="rId8"/>
    <sheet name="CALC" sheetId="9" r:id="rId9"/>
    <sheet name="orig" sheetId="10" r:id="rId10"/>
    <sheet name="1-10" sheetId="11" r:id="rId11"/>
    <sheet name="new veh 2012" sheetId="12" r:id="rId12"/>
    <sheet name="Sheet1" sheetId="13" r:id="rId13"/>
    <sheet name="stbk" sheetId="14" r:id="rId14"/>
    <sheet name="Sheet2" sheetId="15" r:id="rId15"/>
  </sheets>
  <definedNames>
    <definedName name="_xlnm._FilterDatabase" localSheetId="10" hidden="1">'1-10'!$A$1:$AY$100</definedName>
    <definedName name="_xlnm._FilterDatabase" localSheetId="0" hidden="1">mayor!$A$16:$C$16</definedName>
    <definedName name="_xlnm._FilterDatabase" localSheetId="11" hidden="1">'new veh 2012'!$A$1:$J$95</definedName>
    <definedName name="_xlnm._FilterDatabase" localSheetId="9" hidden="1">orig!$A$1:$AN$198</definedName>
    <definedName name="_xlnm._FilterDatabase" localSheetId="13" hidden="1">stbk!$A$1:$G$199</definedName>
    <definedName name="_xlnm.Print_Area" localSheetId="7">BUDGET!$A$1:$B$76</definedName>
    <definedName name="_xlnm.Print_Area" localSheetId="5">CEM!$A$1:$Q$148</definedName>
    <definedName name="_xlnm.Print_Area" localSheetId="3">'COMMUNITY SERV'!$A$1:$Q$105</definedName>
    <definedName name="_xlnm.Print_Area" localSheetId="4">EEM!$A$1:$Q$107</definedName>
    <definedName name="_xlnm.Print_Area" localSheetId="1">income!$A$1:$Q$16</definedName>
    <definedName name="_xlnm.Print_Area" localSheetId="0">mayor!$A$1:$Q$42</definedName>
    <definedName name="_xlnm.Print_Area" localSheetId="6">MDC!$A$1:$Q$99</definedName>
    <definedName name="_xlnm.Print_Area" localSheetId="2">workshop!$A$1:$Q$20</definedName>
    <definedName name="Z_594C4AB0_8D5F_4373_9663_410F4413FE3A_.wvu.Cols" localSheetId="10" hidden="1">'1-10'!$B:$B</definedName>
    <definedName name="Z_594C4AB0_8D5F_4373_9663_410F4413FE3A_.wvu.Cols" localSheetId="7" hidden="1">BUDGET!$C:$U</definedName>
    <definedName name="Z_594C4AB0_8D5F_4373_9663_410F4413FE3A_.wvu.Cols" localSheetId="4" hidden="1">EEM!$P:$P</definedName>
    <definedName name="Z_594C4AB0_8D5F_4373_9663_410F4413FE3A_.wvu.Cols" localSheetId="1" hidden="1">income!$P:$P</definedName>
    <definedName name="Z_594C4AB0_8D5F_4373_9663_410F4413FE3A_.wvu.Cols" localSheetId="0" hidden="1">mayor!$P:$P</definedName>
    <definedName name="Z_594C4AB0_8D5F_4373_9663_410F4413FE3A_.wvu.Cols" localSheetId="6" hidden="1">MDC!$J:$J,MDC!$P:$P</definedName>
    <definedName name="Z_594C4AB0_8D5F_4373_9663_410F4413FE3A_.wvu.Cols" localSheetId="2" hidden="1">workshop!$J:$J,workshop!$P:$P</definedName>
    <definedName name="Z_594C4AB0_8D5F_4373_9663_410F4413FE3A_.wvu.FilterData" localSheetId="10" hidden="1">'1-10'!$A$1:$AY$100</definedName>
    <definedName name="Z_594C4AB0_8D5F_4373_9663_410F4413FE3A_.wvu.FilterData" localSheetId="11" hidden="1">'new veh 2012'!$A$1:$J$95</definedName>
    <definedName name="Z_594C4AB0_8D5F_4373_9663_410F4413FE3A_.wvu.FilterData" localSheetId="9" hidden="1">orig!$A$1:$AN$198</definedName>
    <definedName name="Z_594C4AB0_8D5F_4373_9663_410F4413FE3A_.wvu.FilterData" localSheetId="13" hidden="1">stbk!$A$1:$G$199</definedName>
    <definedName name="Z_594C4AB0_8D5F_4373_9663_410F4413FE3A_.wvu.PrintArea" localSheetId="7" hidden="1">BUDGET!$A$1:$B$76</definedName>
    <definedName name="Z_594C4AB0_8D5F_4373_9663_410F4413FE3A_.wvu.PrintArea" localSheetId="5" hidden="1">CEM!$A$1:$Q$148</definedName>
    <definedName name="Z_594C4AB0_8D5F_4373_9663_410F4413FE3A_.wvu.PrintArea" localSheetId="3" hidden="1">'COMMUNITY SERV'!$A$1:$Q$105</definedName>
    <definedName name="Z_594C4AB0_8D5F_4373_9663_410F4413FE3A_.wvu.PrintArea" localSheetId="4" hidden="1">EEM!$A$1:$Q$107</definedName>
    <definedName name="Z_594C4AB0_8D5F_4373_9663_410F4413FE3A_.wvu.PrintArea" localSheetId="1" hidden="1">income!$A$1:$Q$16</definedName>
    <definedName name="Z_594C4AB0_8D5F_4373_9663_410F4413FE3A_.wvu.PrintArea" localSheetId="0" hidden="1">mayor!$A$1:$Q$42</definedName>
    <definedName name="Z_594C4AB0_8D5F_4373_9663_410F4413FE3A_.wvu.PrintArea" localSheetId="6" hidden="1">MDC!$A$1:$Q$99</definedName>
    <definedName name="Z_594C4AB0_8D5F_4373_9663_410F4413FE3A_.wvu.PrintArea" localSheetId="2" hidden="1">workshop!$A$1:$Q$20</definedName>
    <definedName name="Z_594C4AB0_8D5F_4373_9663_410F4413FE3A_.wvu.Rows" localSheetId="7" hidden="1">BUDGET!$2:$7,BUDGET!$9:$9,BUDGET!$11:$11,BUDGET!$13:$16,BUDGET!$18:$21,BUDGET!$23:$23,BUDGET!$25:$28,BUDGET!$30:$36,BUDGET!$38:$38,BUDGET!$40:$40,BUDGET!$42:$47,BUDGET!$49:$49,BUDGET!$51:$54,BUDGET!$56:$59,BUDGET!$61:$66,BUDGET!$68:$68,BUDGET!$70:$70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594C4AB0_8D5F_4373_9663_410F4413FE3A_.wvu.Rows" localSheetId="5" hidden="1">CEM!$143:$143</definedName>
    <definedName name="Z_594C4AB0_8D5F_4373_9663_410F4413FE3A_.wvu.Rows" localSheetId="6" hidden="1">MDC!$67:$73</definedName>
    <definedName name="Z_594C4AB0_8D5F_4373_9663_410F4413FE3A_.wvu.Rows" localSheetId="11" hidden="1">'new veh 2012'!$96:$97</definedName>
    <definedName name="Z_6C0BD6A7_6718_429D_82D9_D2FE0341EA2C_.wvu.Cols" localSheetId="10" hidden="1">'1-10'!$B:$B</definedName>
    <definedName name="Z_6C0BD6A7_6718_429D_82D9_D2FE0341EA2C_.wvu.Cols" localSheetId="7" hidden="1">BUDGET!$C:$S</definedName>
    <definedName name="Z_6C0BD6A7_6718_429D_82D9_D2FE0341EA2C_.wvu.Cols" localSheetId="4" hidden="1">EEM!$P:$P</definedName>
    <definedName name="Z_6C0BD6A7_6718_429D_82D9_D2FE0341EA2C_.wvu.Cols" localSheetId="1" hidden="1">income!$P:$P</definedName>
    <definedName name="Z_6C0BD6A7_6718_429D_82D9_D2FE0341EA2C_.wvu.Cols" localSheetId="0" hidden="1">mayor!$P:$P</definedName>
    <definedName name="Z_6C0BD6A7_6718_429D_82D9_D2FE0341EA2C_.wvu.Cols" localSheetId="6" hidden="1">MDC!$J:$J,MDC!$P:$P</definedName>
    <definedName name="Z_6C0BD6A7_6718_429D_82D9_D2FE0341EA2C_.wvu.Cols" localSheetId="2" hidden="1">workshop!$J:$J,workshop!$P:$P</definedName>
    <definedName name="Z_6C0BD6A7_6718_429D_82D9_D2FE0341EA2C_.wvu.FilterData" localSheetId="10" hidden="1">'1-10'!$A$1:$AY$100</definedName>
    <definedName name="Z_6C0BD6A7_6718_429D_82D9_D2FE0341EA2C_.wvu.FilterData" localSheetId="11" hidden="1">'new veh 2012'!$A$1:$J$95</definedName>
    <definedName name="Z_6C0BD6A7_6718_429D_82D9_D2FE0341EA2C_.wvu.FilterData" localSheetId="9" hidden="1">orig!$A$1:$AN$198</definedName>
    <definedName name="Z_6C0BD6A7_6718_429D_82D9_D2FE0341EA2C_.wvu.FilterData" localSheetId="13" hidden="1">stbk!$A$1:$G$199</definedName>
    <definedName name="Z_6C0BD6A7_6718_429D_82D9_D2FE0341EA2C_.wvu.PrintArea" localSheetId="7" hidden="1">BUDGET!$A$1:$B$76</definedName>
    <definedName name="Z_6C0BD6A7_6718_429D_82D9_D2FE0341EA2C_.wvu.PrintArea" localSheetId="5" hidden="1">CEM!$A$1:$Q$148</definedName>
    <definedName name="Z_6C0BD6A7_6718_429D_82D9_D2FE0341EA2C_.wvu.PrintArea" localSheetId="3" hidden="1">'COMMUNITY SERV'!$A$1:$Q$105</definedName>
    <definedName name="Z_6C0BD6A7_6718_429D_82D9_D2FE0341EA2C_.wvu.PrintArea" localSheetId="4" hidden="1">EEM!$A$1:$Q$107</definedName>
    <definedName name="Z_6C0BD6A7_6718_429D_82D9_D2FE0341EA2C_.wvu.PrintArea" localSheetId="1" hidden="1">income!$A$1:$Q$16</definedName>
    <definedName name="Z_6C0BD6A7_6718_429D_82D9_D2FE0341EA2C_.wvu.PrintArea" localSheetId="0" hidden="1">mayor!$A$1:$Q$42</definedName>
    <definedName name="Z_6C0BD6A7_6718_429D_82D9_D2FE0341EA2C_.wvu.PrintArea" localSheetId="6" hidden="1">MDC!$A$1:$Q$99</definedName>
    <definedName name="Z_6C0BD6A7_6718_429D_82D9_D2FE0341EA2C_.wvu.PrintArea" localSheetId="2" hidden="1">workshop!$A$1:$Q$20</definedName>
    <definedName name="Z_6C0BD6A7_6718_429D_82D9_D2FE0341EA2C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6C0BD6A7_6718_429D_82D9_D2FE0341EA2C_.wvu.Rows" localSheetId="5" hidden="1">CEM!$143:$143</definedName>
    <definedName name="Z_6C0BD6A7_6718_429D_82D9_D2FE0341EA2C_.wvu.Rows" localSheetId="6" hidden="1">MDC!$67:$73</definedName>
    <definedName name="Z_6C0BD6A7_6718_429D_82D9_D2FE0341EA2C_.wvu.Rows" localSheetId="11" hidden="1">'new veh 2012'!$96:$97</definedName>
    <definedName name="Z_DF69299D_7752_4436_A45D_28F739CEE21B_.wvu.Cols" localSheetId="10" hidden="1">'1-10'!$B:$B</definedName>
    <definedName name="Z_DF69299D_7752_4436_A45D_28F739CEE21B_.wvu.Cols" localSheetId="7" hidden="1">BUDGET!$C:$S</definedName>
    <definedName name="Z_DF69299D_7752_4436_A45D_28F739CEE21B_.wvu.Cols" localSheetId="5" hidden="1">CEM!$P:$P</definedName>
    <definedName name="Z_DF69299D_7752_4436_A45D_28F739CEE21B_.wvu.Cols" localSheetId="1" hidden="1">income!$P:$P</definedName>
    <definedName name="Z_DF69299D_7752_4436_A45D_28F739CEE21B_.wvu.Cols" localSheetId="0" hidden="1">mayor!$P:$P</definedName>
    <definedName name="Z_DF69299D_7752_4436_A45D_28F739CEE21B_.wvu.Cols" localSheetId="6" hidden="1">MDC!$J:$J,MDC!$P:$P</definedName>
    <definedName name="Z_DF69299D_7752_4436_A45D_28F739CEE21B_.wvu.Cols" localSheetId="2" hidden="1">workshop!$J:$J,workshop!$P:$P</definedName>
    <definedName name="Z_DF69299D_7752_4436_A45D_28F739CEE21B_.wvu.FilterData" localSheetId="10" hidden="1">'1-10'!$A$1:$AY$100</definedName>
    <definedName name="Z_DF69299D_7752_4436_A45D_28F739CEE21B_.wvu.FilterData" localSheetId="0" hidden="1">mayor!$A$16:$C$16</definedName>
    <definedName name="Z_DF69299D_7752_4436_A45D_28F739CEE21B_.wvu.FilterData" localSheetId="11" hidden="1">'new veh 2012'!$A$1:$J$95</definedName>
    <definedName name="Z_DF69299D_7752_4436_A45D_28F739CEE21B_.wvu.FilterData" localSheetId="9" hidden="1">orig!$A$1:$AN$198</definedName>
    <definedName name="Z_DF69299D_7752_4436_A45D_28F739CEE21B_.wvu.FilterData" localSheetId="13" hidden="1">stbk!$A$1:$G$199</definedName>
    <definedName name="Z_DF69299D_7752_4436_A45D_28F739CEE21B_.wvu.PrintArea" localSheetId="7" hidden="1">BUDGET!$A$1:$B$76</definedName>
    <definedName name="Z_DF69299D_7752_4436_A45D_28F739CEE21B_.wvu.PrintArea" localSheetId="5" hidden="1">CEM!$A$1:$Q$148</definedName>
    <definedName name="Z_DF69299D_7752_4436_A45D_28F739CEE21B_.wvu.PrintArea" localSheetId="3" hidden="1">'COMMUNITY SERV'!$A$1:$Q$105</definedName>
    <definedName name="Z_DF69299D_7752_4436_A45D_28F739CEE21B_.wvu.PrintArea" localSheetId="4" hidden="1">EEM!$A$1:$Q$107</definedName>
    <definedName name="Z_DF69299D_7752_4436_A45D_28F739CEE21B_.wvu.PrintArea" localSheetId="1" hidden="1">income!$A$1:$Q$16</definedName>
    <definedName name="Z_DF69299D_7752_4436_A45D_28F739CEE21B_.wvu.PrintArea" localSheetId="0" hidden="1">mayor!$A$1:$Q$42</definedName>
    <definedName name="Z_DF69299D_7752_4436_A45D_28F739CEE21B_.wvu.PrintArea" localSheetId="6" hidden="1">MDC!$A$1:$Q$99</definedName>
    <definedName name="Z_DF69299D_7752_4436_A45D_28F739CEE21B_.wvu.PrintArea" localSheetId="2" hidden="1">workshop!$A$1:$Q$20</definedName>
    <definedName name="Z_DF69299D_7752_4436_A45D_28F739CEE21B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DF69299D_7752_4436_A45D_28F739CEE21B_.wvu.Rows" localSheetId="5" hidden="1">CEM!$143:$143</definedName>
    <definedName name="Z_DF69299D_7752_4436_A45D_28F739CEE21B_.wvu.Rows" localSheetId="6" hidden="1">MDC!$67:$73</definedName>
    <definedName name="Z_DF69299D_7752_4436_A45D_28F739CEE21B_.wvu.Rows" localSheetId="11" hidden="1">'new veh 2012'!$96:$97</definedName>
  </definedNames>
  <calcPr calcId="191029"/>
  <customWorkbookViews>
    <customWorkbookView name="tendani - Personal View" guid="{6C0BD6A7-6718-429D-82D9-D2FE0341EA2C}" mergeInterval="0" personalView="1" xWindow="80" yWindow="7" windowWidth="1280" windowHeight="721" tabRatio="826" activeSheetId="6"/>
    <customWorkbookView name="Lydia Du Plessis - Personal View" guid="{594C4AB0-8D5F-4373-9663-410F4413FE3A}" mergeInterval="0" personalView="1" maximized="1" xWindow="-8" yWindow="-8" windowWidth="1936" windowHeight="1056" tabRatio="826" activeSheetId="6"/>
    <customWorkbookView name="Andre A. Le Grange - Personal View" guid="{DF69299D-7752-4436-A45D-28F739CEE21B}" mergeInterval="0" personalView="1" maximized="1" xWindow="-11" yWindow="-11" windowWidth="1942" windowHeight="1030" tabRatio="82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0" i="4" l="1"/>
  <c r="K71" i="4"/>
  <c r="K29" i="1"/>
  <c r="F29" i="1"/>
  <c r="K35" i="1"/>
  <c r="F35" i="1"/>
  <c r="K37" i="5"/>
  <c r="K38" i="5"/>
  <c r="E37" i="5"/>
  <c r="F10" i="2" l="1"/>
  <c r="F9" i="2"/>
  <c r="F34" i="1"/>
  <c r="F28" i="1"/>
  <c r="F30" i="1" s="1"/>
  <c r="F22" i="1"/>
  <c r="F16" i="1"/>
  <c r="F15" i="1"/>
  <c r="F9" i="1"/>
  <c r="F8" i="1"/>
  <c r="E8" i="1"/>
  <c r="H8" i="1"/>
  <c r="B41" i="5"/>
  <c r="L107" i="5"/>
  <c r="J107" i="5"/>
  <c r="J110" i="5" s="1"/>
  <c r="I107" i="5"/>
  <c r="I110" i="5"/>
  <c r="L110" i="5"/>
  <c r="E98" i="5"/>
  <c r="M98" i="5" s="1"/>
  <c r="L105" i="5"/>
  <c r="K105" i="5"/>
  <c r="J105" i="5"/>
  <c r="I105" i="5"/>
  <c r="F105" i="5"/>
  <c r="D105" i="5"/>
  <c r="H103" i="5"/>
  <c r="H105" i="5" s="1"/>
  <c r="G105" i="5"/>
  <c r="E105" i="5"/>
  <c r="L100" i="5"/>
  <c r="K100" i="5"/>
  <c r="J100" i="5"/>
  <c r="I100" i="5"/>
  <c r="H100" i="5"/>
  <c r="F100" i="5"/>
  <c r="D100" i="5"/>
  <c r="G100" i="5"/>
  <c r="E89" i="7"/>
  <c r="E90" i="7"/>
  <c r="E91" i="7"/>
  <c r="E92" i="7"/>
  <c r="E88" i="7"/>
  <c r="D93" i="7"/>
  <c r="H93" i="7"/>
  <c r="I93" i="7"/>
  <c r="J93" i="7"/>
  <c r="K93" i="7"/>
  <c r="L93" i="7"/>
  <c r="N93" i="7"/>
  <c r="P93" i="7"/>
  <c r="F93" i="7"/>
  <c r="K28" i="1"/>
  <c r="K34" i="1"/>
  <c r="K94" i="4"/>
  <c r="F95" i="4"/>
  <c r="I95" i="4"/>
  <c r="J95" i="4"/>
  <c r="L95" i="4"/>
  <c r="D95" i="4"/>
  <c r="E94" i="4"/>
  <c r="K58" i="4"/>
  <c r="I15" i="1"/>
  <c r="A23" i="9"/>
  <c r="K69" i="6"/>
  <c r="K68" i="6"/>
  <c r="K33" i="4"/>
  <c r="K35" i="4"/>
  <c r="K34" i="4"/>
  <c r="K113" i="6"/>
  <c r="K92" i="6"/>
  <c r="K56" i="7"/>
  <c r="K95" i="6"/>
  <c r="K52" i="5"/>
  <c r="K45" i="4"/>
  <c r="K80" i="6"/>
  <c r="K81" i="6"/>
  <c r="K83" i="6"/>
  <c r="K82" i="6"/>
  <c r="K67" i="5"/>
  <c r="K66" i="5"/>
  <c r="K21" i="4"/>
  <c r="K29" i="7"/>
  <c r="K20" i="5"/>
  <c r="K21" i="5"/>
  <c r="K22" i="5"/>
  <c r="K17" i="5"/>
  <c r="K18" i="5"/>
  <c r="K19" i="5"/>
  <c r="K28" i="6"/>
  <c r="K29" i="6"/>
  <c r="K30" i="6"/>
  <c r="K27" i="6"/>
  <c r="K44" i="7"/>
  <c r="K20" i="4"/>
  <c r="K15" i="3"/>
  <c r="K39" i="7"/>
  <c r="K35" i="6"/>
  <c r="K47" i="5"/>
  <c r="K46" i="5"/>
  <c r="K45" i="5"/>
  <c r="K43" i="5"/>
  <c r="K42" i="5"/>
  <c r="K40" i="5"/>
  <c r="K39" i="5"/>
  <c r="K36" i="5"/>
  <c r="K35" i="5"/>
  <c r="K34" i="5"/>
  <c r="K33" i="5"/>
  <c r="K32" i="5"/>
  <c r="K31" i="5"/>
  <c r="K29" i="5"/>
  <c r="K23" i="7"/>
  <c r="K24" i="7"/>
  <c r="K22" i="7"/>
  <c r="K13" i="6"/>
  <c r="K16" i="6" s="1"/>
  <c r="K14" i="6"/>
  <c r="K15" i="6"/>
  <c r="K15" i="5"/>
  <c r="K14" i="5"/>
  <c r="K75" i="6"/>
  <c r="K34" i="7"/>
  <c r="K46" i="6"/>
  <c r="K47" i="6"/>
  <c r="K13" i="5"/>
  <c r="K74" i="5"/>
  <c r="K40" i="6"/>
  <c r="K73" i="5"/>
  <c r="K99" i="4"/>
  <c r="K27" i="4"/>
  <c r="K80" i="5"/>
  <c r="K74" i="6"/>
  <c r="K53" i="6"/>
  <c r="K54" i="6"/>
  <c r="K77" i="7"/>
  <c r="K83" i="7"/>
  <c r="K75" i="4"/>
  <c r="K74" i="4"/>
  <c r="K67" i="4"/>
  <c r="K68" i="4"/>
  <c r="K69" i="4"/>
  <c r="K72" i="4"/>
  <c r="K66" i="4"/>
  <c r="K57" i="6"/>
  <c r="K16" i="1"/>
  <c r="K15" i="1"/>
  <c r="K7" i="4"/>
  <c r="K7" i="5"/>
  <c r="K8" i="6"/>
  <c r="K7" i="6"/>
  <c r="K9" i="1"/>
  <c r="K8" i="1"/>
  <c r="K9" i="2"/>
  <c r="K10" i="2"/>
  <c r="K9" i="3"/>
  <c r="K10" i="3"/>
  <c r="K8" i="3"/>
  <c r="K12" i="7"/>
  <c r="K13" i="7"/>
  <c r="K14" i="7"/>
  <c r="K15" i="7"/>
  <c r="K16" i="7"/>
  <c r="K7" i="7"/>
  <c r="K8" i="7"/>
  <c r="K9" i="7"/>
  <c r="K10" i="7"/>
  <c r="K11" i="7"/>
  <c r="K82" i="4"/>
  <c r="K83" i="4"/>
  <c r="K84" i="4"/>
  <c r="K85" i="4"/>
  <c r="K81" i="4"/>
  <c r="K80" i="4"/>
  <c r="K22" i="1"/>
  <c r="K63" i="6"/>
  <c r="K62" i="6"/>
  <c r="K14" i="4"/>
  <c r="K13" i="4"/>
  <c r="K21" i="6"/>
  <c r="K22" i="6"/>
  <c r="K20" i="6"/>
  <c r="K93" i="4"/>
  <c r="K92" i="4"/>
  <c r="K91" i="4"/>
  <c r="K95" i="4" s="1"/>
  <c r="K37" i="4"/>
  <c r="K38" i="4"/>
  <c r="I75" i="4"/>
  <c r="E75" i="4"/>
  <c r="F58" i="6"/>
  <c r="J58" i="6"/>
  <c r="L58" i="6"/>
  <c r="I57" i="6"/>
  <c r="H57" i="6"/>
  <c r="E57" i="6"/>
  <c r="I53" i="6"/>
  <c r="I54" i="6"/>
  <c r="B9" i="3"/>
  <c r="E10" i="2"/>
  <c r="B83" i="7"/>
  <c r="B77" i="7"/>
  <c r="B10" i="2"/>
  <c r="I10" i="2"/>
  <c r="A10" i="2"/>
  <c r="I58" i="6" l="1"/>
  <c r="E100" i="5"/>
  <c r="M103" i="5"/>
  <c r="M100" i="5"/>
  <c r="E93" i="7"/>
  <c r="K58" i="6"/>
  <c r="A7" i="6"/>
  <c r="A8" i="6"/>
  <c r="A13" i="6"/>
  <c r="A14" i="6"/>
  <c r="A15" i="6"/>
  <c r="A20" i="6"/>
  <c r="A21" i="6"/>
  <c r="A22" i="6"/>
  <c r="A27" i="6"/>
  <c r="A28" i="6"/>
  <c r="A29" i="6"/>
  <c r="A30" i="6"/>
  <c r="A35" i="6"/>
  <c r="A40" i="6"/>
  <c r="A46" i="6"/>
  <c r="A47" i="6"/>
  <c r="A62" i="6"/>
  <c r="A63" i="6"/>
  <c r="A68" i="6"/>
  <c r="A69" i="6"/>
  <c r="A74" i="6"/>
  <c r="A75" i="6"/>
  <c r="A80" i="6"/>
  <c r="A81" i="6"/>
  <c r="A82" i="6"/>
  <c r="A83" i="6"/>
  <c r="E46" i="5"/>
  <c r="E45" i="5"/>
  <c r="E44" i="5"/>
  <c r="E43" i="5"/>
  <c r="E42" i="5"/>
  <c r="M105" i="5" l="1"/>
  <c r="I68" i="4"/>
  <c r="I67" i="4"/>
  <c r="I66" i="4"/>
  <c r="I21" i="4"/>
  <c r="I20" i="4"/>
  <c r="I14" i="4"/>
  <c r="I13" i="4"/>
  <c r="I15" i="3"/>
  <c r="I10" i="3"/>
  <c r="I8" i="3"/>
  <c r="I9" i="2"/>
  <c r="I34" i="1"/>
  <c r="I22" i="1"/>
  <c r="I9" i="1"/>
  <c r="I8" i="1"/>
  <c r="H15" i="1" l="1"/>
  <c r="H44" i="7" l="1"/>
  <c r="H39" i="7"/>
  <c r="H34" i="7"/>
  <c r="H29" i="7"/>
  <c r="H30" i="7" s="1"/>
  <c r="H83" i="6"/>
  <c r="H82" i="6"/>
  <c r="H81" i="6"/>
  <c r="H80" i="6"/>
  <c r="H75" i="6"/>
  <c r="H74" i="6"/>
  <c r="H69" i="6"/>
  <c r="H68" i="6"/>
  <c r="H63" i="6"/>
  <c r="H62" i="6"/>
  <c r="H54" i="6"/>
  <c r="H53" i="6"/>
  <c r="H58" i="6" s="1"/>
  <c r="H47" i="6"/>
  <c r="H46" i="6"/>
  <c r="H40" i="6"/>
  <c r="H35" i="6"/>
  <c r="H30" i="6"/>
  <c r="H80" i="5"/>
  <c r="H74" i="5"/>
  <c r="H73" i="5"/>
  <c r="H47" i="5"/>
  <c r="H40" i="5"/>
  <c r="H39" i="5"/>
  <c r="H31" i="5"/>
  <c r="H7" i="5"/>
  <c r="H99" i="4"/>
  <c r="H93" i="4"/>
  <c r="H91" i="4"/>
  <c r="H95" i="4" s="1"/>
  <c r="H92" i="4"/>
  <c r="H16" i="1" l="1"/>
  <c r="H9" i="1"/>
  <c r="H62" i="7" l="1"/>
  <c r="H83" i="7"/>
  <c r="H77" i="7"/>
  <c r="T151" i="6"/>
  <c r="T150" i="6"/>
  <c r="S152" i="6"/>
  <c r="T152" i="6" s="1"/>
  <c r="AA74" i="8"/>
  <c r="AA73" i="8"/>
  <c r="AA76" i="8" s="1"/>
  <c r="G77" i="7" l="1"/>
  <c r="H56" i="7"/>
  <c r="G30" i="7"/>
  <c r="H130" i="6"/>
  <c r="H123" i="6"/>
  <c r="H122" i="6"/>
  <c r="H121" i="6"/>
  <c r="H119" i="6"/>
  <c r="H118" i="6"/>
  <c r="H113" i="6"/>
  <c r="H112" i="6"/>
  <c r="H111" i="6"/>
  <c r="H100" i="6"/>
  <c r="H103" i="6"/>
  <c r="H102" i="6"/>
  <c r="H101" i="6"/>
  <c r="H89" i="6"/>
  <c r="H94" i="6"/>
  <c r="H93" i="6"/>
  <c r="H92" i="6"/>
  <c r="H91" i="6"/>
  <c r="H99" i="6"/>
  <c r="H90" i="6"/>
  <c r="H36" i="6"/>
  <c r="G36" i="6"/>
  <c r="H92" i="5"/>
  <c r="H90" i="5"/>
  <c r="H89" i="5"/>
  <c r="H88" i="5"/>
  <c r="H87" i="5"/>
  <c r="H86" i="5"/>
  <c r="H59" i="5"/>
  <c r="H52" i="5"/>
  <c r="H32" i="5"/>
  <c r="H29" i="5"/>
  <c r="H57" i="4"/>
  <c r="H47" i="4"/>
  <c r="H46" i="4"/>
  <c r="H45" i="4"/>
  <c r="H44" i="4"/>
  <c r="H38" i="4"/>
  <c r="H37" i="4"/>
  <c r="H36" i="4"/>
  <c r="H35" i="4"/>
  <c r="H34" i="4"/>
  <c r="H33" i="4"/>
  <c r="H1" i="1"/>
  <c r="G1" i="1"/>
  <c r="F138" i="6" l="1"/>
  <c r="M143" i="6"/>
  <c r="V77" i="8" l="1"/>
  <c r="B78" i="8" s="1"/>
  <c r="D74" i="8"/>
  <c r="O143" i="6"/>
  <c r="C20" i="9"/>
  <c r="D20" i="9" s="1"/>
  <c r="O161" i="6"/>
  <c r="O162" i="6" s="1"/>
  <c r="O157" i="6"/>
  <c r="O158" i="6" s="1"/>
  <c r="M152" i="6" s="1"/>
  <c r="G11" i="8"/>
  <c r="G5" i="8" s="1"/>
  <c r="O3" i="11" l="1"/>
  <c r="K36" i="1"/>
  <c r="J36" i="1"/>
  <c r="H36" i="1"/>
  <c r="F36" i="1"/>
  <c r="D36" i="1"/>
  <c r="I36" i="1"/>
  <c r="E34" i="1"/>
  <c r="E36" i="1" s="1"/>
  <c r="K16" i="3"/>
  <c r="H169" i="6"/>
  <c r="T76" i="8" l="1"/>
  <c r="T77" i="8" s="1"/>
  <c r="E9" i="2" l="1"/>
  <c r="E16" i="1"/>
  <c r="M156" i="6"/>
  <c r="I108" i="7" l="1"/>
  <c r="K9" i="13"/>
  <c r="K10" i="13" s="1"/>
  <c r="K12" i="13" s="1"/>
  <c r="C70" i="8" l="1"/>
  <c r="C68" i="8"/>
  <c r="B68" i="8" s="1"/>
  <c r="F98" i="7"/>
  <c r="H98" i="7"/>
  <c r="I98" i="7"/>
  <c r="J98" i="7"/>
  <c r="K98" i="7"/>
  <c r="D98" i="7"/>
  <c r="E54" i="8"/>
  <c r="D54" i="8"/>
  <c r="O52" i="8"/>
  <c r="N52" i="8"/>
  <c r="M52" i="8"/>
  <c r="L52" i="8"/>
  <c r="K52" i="8"/>
  <c r="J52" i="8"/>
  <c r="I52" i="8"/>
  <c r="H52" i="8"/>
  <c r="G52" i="8"/>
  <c r="F52" i="8"/>
  <c r="D52" i="8"/>
  <c r="C52" i="8"/>
  <c r="F59" i="8"/>
  <c r="G26" i="8"/>
  <c r="D21" i="8"/>
  <c r="C23" i="8"/>
  <c r="B23" i="8" s="1"/>
  <c r="C21" i="8"/>
  <c r="C9" i="8"/>
  <c r="C7" i="8"/>
  <c r="C5" i="8" l="1"/>
  <c r="B21" i="8"/>
  <c r="E28" i="1"/>
  <c r="E22" i="1"/>
  <c r="E15" i="1"/>
  <c r="E9" i="1"/>
  <c r="E13" i="6" l="1"/>
  <c r="E8" i="6"/>
  <c r="E7" i="6"/>
  <c r="E14" i="6"/>
  <c r="E15" i="6"/>
  <c r="E90" i="6"/>
  <c r="E91" i="6"/>
  <c r="E92" i="6"/>
  <c r="E93" i="6"/>
  <c r="E94" i="6"/>
  <c r="E95" i="6"/>
  <c r="F114" i="6"/>
  <c r="H114" i="6"/>
  <c r="I114" i="6"/>
  <c r="J114" i="6"/>
  <c r="K114" i="6"/>
  <c r="L114" i="6"/>
  <c r="D114" i="6"/>
  <c r="O54" i="8" s="1"/>
  <c r="L61" i="5" l="1"/>
  <c r="L54" i="5"/>
  <c r="E71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L9" i="4" s="1"/>
  <c r="E39" i="14"/>
  <c r="E40" i="14"/>
  <c r="E41" i="14"/>
  <c r="E42" i="14"/>
  <c r="E43" i="14"/>
  <c r="E44" i="14"/>
  <c r="E45" i="14"/>
  <c r="E46" i="14"/>
  <c r="E47" i="14"/>
  <c r="E48" i="14"/>
  <c r="E49" i="14"/>
  <c r="E50" i="14"/>
  <c r="L9" i="5" s="1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L16" i="3" s="1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L30" i="7" s="1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L29" i="4" s="1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L35" i="7" s="1"/>
  <c r="E163" i="14"/>
  <c r="E164" i="14"/>
  <c r="E165" i="14"/>
  <c r="E166" i="14"/>
  <c r="E167" i="14"/>
  <c r="E168" i="14"/>
  <c r="E169" i="14"/>
  <c r="E170" i="14"/>
  <c r="L36" i="6" s="1"/>
  <c r="E171" i="14"/>
  <c r="E172" i="14"/>
  <c r="L40" i="7" s="1"/>
  <c r="E173" i="14"/>
  <c r="E174" i="14"/>
  <c r="L45" i="7" s="1"/>
  <c r="E175" i="14"/>
  <c r="E176" i="14"/>
  <c r="L101" i="4" s="1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L82" i="5" s="1"/>
  <c r="E199" i="14"/>
  <c r="E2" i="14"/>
  <c r="L97" i="7" l="1"/>
  <c r="L99" i="7"/>
  <c r="L98" i="7"/>
  <c r="L18" i="7"/>
  <c r="L76" i="6"/>
  <c r="L70" i="6"/>
  <c r="L64" i="6"/>
  <c r="L9" i="6"/>
  <c r="L23" i="6"/>
  <c r="L76" i="5"/>
  <c r="L69" i="5"/>
  <c r="L48" i="5"/>
  <c r="L24" i="5"/>
  <c r="L16" i="4"/>
  <c r="L87" i="4"/>
  <c r="L23" i="4"/>
  <c r="L108" i="4" l="1"/>
  <c r="L142" i="6" s="1"/>
  <c r="L103" i="4"/>
  <c r="L144" i="6"/>
  <c r="D9" i="8" l="1"/>
  <c r="D7" i="8"/>
  <c r="E8" i="3"/>
  <c r="E15" i="3"/>
  <c r="D5" i="8" l="1"/>
  <c r="B10" i="3"/>
  <c r="A10" i="3"/>
  <c r="E10" i="3"/>
  <c r="E27" i="4"/>
  <c r="G28" i="9"/>
  <c r="G29" i="9" s="1"/>
  <c r="E80" i="5"/>
  <c r="E73" i="5"/>
  <c r="F41" i="1"/>
  <c r="H41" i="1"/>
  <c r="I41" i="1"/>
  <c r="J41" i="1"/>
  <c r="K41" i="1"/>
  <c r="L41" i="1"/>
  <c r="F40" i="1"/>
  <c r="H40" i="1"/>
  <c r="I40" i="1"/>
  <c r="J40" i="1"/>
  <c r="K40" i="1"/>
  <c r="L40" i="1"/>
  <c r="D41" i="1"/>
  <c r="D40" i="1"/>
  <c r="F18" i="1"/>
  <c r="H18" i="1"/>
  <c r="I18" i="1"/>
  <c r="J18" i="1"/>
  <c r="K18" i="1"/>
  <c r="F11" i="1"/>
  <c r="H11" i="1"/>
  <c r="I11" i="1"/>
  <c r="J11" i="1"/>
  <c r="K11" i="1"/>
  <c r="K41" i="6"/>
  <c r="L41" i="6"/>
  <c r="L51" i="4" l="1"/>
  <c r="E91" i="4"/>
  <c r="B91" i="4"/>
  <c r="A91" i="4"/>
  <c r="L61" i="4"/>
  <c r="E83" i="4"/>
  <c r="L105" i="4" l="1"/>
  <c r="A9" i="3" l="1"/>
  <c r="E9" i="3"/>
  <c r="E111" i="6"/>
  <c r="B44" i="7" l="1"/>
  <c r="B39" i="7"/>
  <c r="I12" i="2"/>
  <c r="B80" i="5"/>
  <c r="A80" i="5"/>
  <c r="F84" i="6"/>
  <c r="H84" i="6"/>
  <c r="I84" i="6"/>
  <c r="J84" i="6"/>
  <c r="K84" i="6"/>
  <c r="L84" i="6"/>
  <c r="F64" i="6"/>
  <c r="H64" i="6"/>
  <c r="I64" i="6"/>
  <c r="J64" i="6"/>
  <c r="K64" i="6"/>
  <c r="F48" i="6"/>
  <c r="H48" i="6"/>
  <c r="K48" i="6"/>
  <c r="L48" i="6"/>
  <c r="F31" i="6"/>
  <c r="H31" i="6"/>
  <c r="I31" i="6"/>
  <c r="J31" i="6"/>
  <c r="K31" i="6"/>
  <c r="L31" i="6"/>
  <c r="F23" i="6"/>
  <c r="H23" i="6"/>
  <c r="F16" i="6"/>
  <c r="H16" i="6"/>
  <c r="I16" i="6"/>
  <c r="L16" i="6"/>
  <c r="F9" i="6"/>
  <c r="H9" i="6"/>
  <c r="S99" i="11"/>
  <c r="S98" i="11"/>
  <c r="S96" i="11"/>
  <c r="S97" i="11"/>
  <c r="B47" i="6"/>
  <c r="B46" i="6"/>
  <c r="B35" i="6"/>
  <c r="B40" i="6"/>
  <c r="D48" i="6"/>
  <c r="H54" i="8" s="1"/>
  <c r="E40" i="6"/>
  <c r="F36" i="6"/>
  <c r="D36" i="6"/>
  <c r="F54" i="8" s="1"/>
  <c r="K36" i="6"/>
  <c r="J36" i="6"/>
  <c r="I36" i="6"/>
  <c r="E35" i="6"/>
  <c r="E36" i="6" s="1"/>
  <c r="E28" i="6"/>
  <c r="E29" i="6"/>
  <c r="B29" i="6"/>
  <c r="B30" i="6"/>
  <c r="B28" i="6"/>
  <c r="B27" i="6"/>
  <c r="B22" i="6"/>
  <c r="B21" i="6"/>
  <c r="B20" i="6"/>
  <c r="B14" i="6"/>
  <c r="B15" i="6"/>
  <c r="B13" i="6"/>
  <c r="B8" i="6"/>
  <c r="B7" i="6"/>
  <c r="B74" i="5"/>
  <c r="B73" i="5"/>
  <c r="A74" i="5"/>
  <c r="A73" i="5"/>
  <c r="B67" i="5"/>
  <c r="B66" i="5"/>
  <c r="A67" i="5"/>
  <c r="A66" i="5"/>
  <c r="B30" i="5"/>
  <c r="B31" i="5"/>
  <c r="B32" i="5"/>
  <c r="B39" i="5"/>
  <c r="B40" i="5"/>
  <c r="B47" i="5"/>
  <c r="B29" i="5"/>
  <c r="A30" i="5"/>
  <c r="A31" i="5"/>
  <c r="A32" i="5"/>
  <c r="A33" i="5"/>
  <c r="A34" i="5"/>
  <c r="A35" i="5"/>
  <c r="A36" i="5"/>
  <c r="A39" i="5"/>
  <c r="A40" i="5"/>
  <c r="A47" i="5"/>
  <c r="A29" i="5"/>
  <c r="B21" i="5"/>
  <c r="B22" i="5"/>
  <c r="B20" i="5"/>
  <c r="B19" i="5"/>
  <c r="B18" i="5"/>
  <c r="B17" i="5"/>
  <c r="B14" i="5"/>
  <c r="B15" i="5"/>
  <c r="B16" i="5"/>
  <c r="B13" i="5"/>
  <c r="A21" i="5"/>
  <c r="A22" i="5"/>
  <c r="A20" i="5"/>
  <c r="A19" i="5"/>
  <c r="A18" i="5"/>
  <c r="A17" i="5"/>
  <c r="A14" i="5"/>
  <c r="A15" i="5"/>
  <c r="A16" i="5"/>
  <c r="A13" i="5"/>
  <c r="B7" i="5"/>
  <c r="A7" i="5"/>
  <c r="B27" i="4"/>
  <c r="A27" i="4"/>
  <c r="B21" i="4"/>
  <c r="A21" i="4"/>
  <c r="B20" i="4"/>
  <c r="A20" i="4"/>
  <c r="B14" i="4"/>
  <c r="B13" i="4"/>
  <c r="A14" i="4"/>
  <c r="A13" i="4"/>
  <c r="B7" i="4"/>
  <c r="A7" i="4"/>
  <c r="I16" i="2" l="1"/>
  <c r="I18" i="2"/>
  <c r="I15" i="2" l="1"/>
  <c r="I140" i="6"/>
  <c r="A44" i="7" l="1"/>
  <c r="A39" i="7"/>
  <c r="B34" i="7"/>
  <c r="A34" i="7"/>
  <c r="B29" i="7"/>
  <c r="A29" i="7"/>
  <c r="B24" i="7"/>
  <c r="A24" i="7"/>
  <c r="B23" i="7"/>
  <c r="B22" i="7"/>
  <c r="A23" i="7"/>
  <c r="A22" i="7"/>
  <c r="B15" i="7"/>
  <c r="B16" i="7"/>
  <c r="B14" i="7"/>
  <c r="B13" i="7"/>
  <c r="B12" i="7"/>
  <c r="B11" i="7"/>
  <c r="B10" i="7"/>
  <c r="B8" i="7"/>
  <c r="B9" i="7"/>
  <c r="B7" i="7"/>
  <c r="A15" i="7"/>
  <c r="A16" i="7"/>
  <c r="A14" i="7"/>
  <c r="A13" i="7"/>
  <c r="A12" i="7"/>
  <c r="A11" i="7"/>
  <c r="A10" i="7"/>
  <c r="A8" i="7"/>
  <c r="A9" i="7"/>
  <c r="A7" i="7"/>
  <c r="E24" i="7" l="1"/>
  <c r="B81" i="6"/>
  <c r="B82" i="6"/>
  <c r="B83" i="6"/>
  <c r="B80" i="6"/>
  <c r="B75" i="6"/>
  <c r="B74" i="6"/>
  <c r="B69" i="6"/>
  <c r="B68" i="6"/>
  <c r="B63" i="6"/>
  <c r="B62" i="6"/>
  <c r="J48" i="6"/>
  <c r="E47" i="6"/>
  <c r="E46" i="6"/>
  <c r="E21" i="6"/>
  <c r="D16" i="6"/>
  <c r="P107" i="5"/>
  <c r="E74" i="5"/>
  <c r="E14" i="5"/>
  <c r="E15" i="5"/>
  <c r="E16" i="5"/>
  <c r="E17" i="5"/>
  <c r="E18" i="5"/>
  <c r="E19" i="5"/>
  <c r="E20" i="5"/>
  <c r="E21" i="5"/>
  <c r="E22" i="5"/>
  <c r="B15" i="3"/>
  <c r="A15" i="3"/>
  <c r="B8" i="3"/>
  <c r="A8" i="3"/>
  <c r="B9" i="2"/>
  <c r="B99" i="4"/>
  <c r="A99" i="4"/>
  <c r="B93" i="4"/>
  <c r="B92" i="4"/>
  <c r="A92" i="4"/>
  <c r="A93" i="4"/>
  <c r="A81" i="4"/>
  <c r="A82" i="4"/>
  <c r="A84" i="4"/>
  <c r="A85" i="4"/>
  <c r="B81" i="4"/>
  <c r="B82" i="4"/>
  <c r="B84" i="4"/>
  <c r="B85" i="4"/>
  <c r="B80" i="4"/>
  <c r="A80" i="4"/>
  <c r="C54" i="8" l="1"/>
  <c r="E48" i="6"/>
  <c r="E20" i="6"/>
  <c r="E81" i="4"/>
  <c r="E82" i="4"/>
  <c r="E84" i="4"/>
  <c r="E85" i="4"/>
  <c r="E80" i="4"/>
  <c r="A22" i="1"/>
  <c r="A16" i="1"/>
  <c r="A15" i="1"/>
  <c r="A9" i="1"/>
  <c r="A8" i="1"/>
  <c r="A9" i="2"/>
  <c r="L2" i="11"/>
  <c r="L94" i="11"/>
  <c r="L96" i="11"/>
  <c r="S54" i="11"/>
  <c r="S51" i="11"/>
  <c r="S50" i="11"/>
  <c r="S101" i="11" s="1"/>
  <c r="G2" i="11"/>
  <c r="M2" i="11" l="1"/>
  <c r="D18" i="7" l="1"/>
  <c r="I83" i="7"/>
  <c r="I77" i="7"/>
  <c r="I155" i="6"/>
  <c r="I9" i="6"/>
  <c r="L96" i="7" l="1"/>
  <c r="L102" i="7" s="1"/>
  <c r="L146" i="6" s="1"/>
  <c r="J76" i="6"/>
  <c r="J70" i="6"/>
  <c r="J41" i="6"/>
  <c r="H33" i="13"/>
  <c r="H32" i="13"/>
  <c r="H31" i="13"/>
  <c r="J9" i="6" s="1"/>
  <c r="H30" i="13"/>
  <c r="H29" i="13"/>
  <c r="H28" i="13"/>
  <c r="H27" i="13"/>
  <c r="H26" i="13"/>
  <c r="H19" i="13"/>
  <c r="H18" i="13"/>
  <c r="H17" i="13"/>
  <c r="H16" i="13"/>
  <c r="H15" i="13"/>
  <c r="J23" i="6" s="1"/>
  <c r="H14" i="13"/>
  <c r="H13" i="13"/>
  <c r="H12" i="13"/>
  <c r="H11" i="13"/>
  <c r="H10" i="13"/>
  <c r="H9" i="13"/>
  <c r="J133" i="6" l="1"/>
  <c r="J16" i="6"/>
  <c r="J126" i="6" s="1"/>
  <c r="E82" i="5"/>
  <c r="E83" i="6"/>
  <c r="E82" i="6"/>
  <c r="E81" i="6"/>
  <c r="E80" i="6"/>
  <c r="E75" i="6"/>
  <c r="E74" i="6"/>
  <c r="I32" i="8"/>
  <c r="H32" i="8"/>
  <c r="E32" i="8"/>
  <c r="C32" i="8"/>
  <c r="H82" i="5"/>
  <c r="O96" i="11"/>
  <c r="O94" i="11"/>
  <c r="L45" i="8"/>
  <c r="L49" i="8" s="1"/>
  <c r="L43" i="8"/>
  <c r="K82" i="5"/>
  <c r="J82" i="5"/>
  <c r="I82" i="5"/>
  <c r="F82" i="5"/>
  <c r="D82" i="5"/>
  <c r="E69" i="6"/>
  <c r="E63" i="6"/>
  <c r="F26" i="8"/>
  <c r="E26" i="8"/>
  <c r="D26" i="8"/>
  <c r="C26" i="8"/>
  <c r="J43" i="8"/>
  <c r="I43" i="8"/>
  <c r="G43" i="8"/>
  <c r="F43" i="8"/>
  <c r="E43" i="8"/>
  <c r="D43" i="8"/>
  <c r="C43" i="8"/>
  <c r="E52" i="8"/>
  <c r="F57" i="8"/>
  <c r="E57" i="8"/>
  <c r="D57" i="8"/>
  <c r="C57" i="8"/>
  <c r="C66" i="8"/>
  <c r="M62" i="8"/>
  <c r="L62" i="8"/>
  <c r="K62" i="8"/>
  <c r="J62" i="8"/>
  <c r="I62" i="8"/>
  <c r="H62" i="8"/>
  <c r="G62" i="8"/>
  <c r="F62" i="8"/>
  <c r="C14" i="8"/>
  <c r="F3" i="8"/>
  <c r="E3" i="8"/>
  <c r="D3" i="8"/>
  <c r="C3" i="8"/>
  <c r="D22" i="6"/>
  <c r="E59" i="8" s="1"/>
  <c r="E16" i="6"/>
  <c r="O90" i="11"/>
  <c r="O91" i="11"/>
  <c r="O92" i="11"/>
  <c r="O93" i="11"/>
  <c r="O95" i="11"/>
  <c r="O97" i="11"/>
  <c r="O98" i="11"/>
  <c r="O99" i="11"/>
  <c r="O100" i="11"/>
  <c r="J153" i="6" l="1"/>
  <c r="J145" i="6" s="1"/>
  <c r="D23" i="6"/>
  <c r="E30" i="6"/>
  <c r="D31" i="6"/>
  <c r="J135" i="6"/>
  <c r="D9" i="6"/>
  <c r="B7" i="8"/>
  <c r="L47" i="8"/>
  <c r="C64" i="8"/>
  <c r="B9" i="8"/>
  <c r="J154" i="6" l="1"/>
  <c r="D59" i="8"/>
  <c r="D84" i="6"/>
  <c r="M54" i="8" s="1"/>
  <c r="K76" i="6"/>
  <c r="I76" i="6"/>
  <c r="H76" i="6"/>
  <c r="F76" i="6"/>
  <c r="D76" i="6"/>
  <c r="L54" i="8" s="1"/>
  <c r="E76" i="6"/>
  <c r="K70" i="6"/>
  <c r="I70" i="6"/>
  <c r="H70" i="6"/>
  <c r="F70" i="6"/>
  <c r="D70" i="6"/>
  <c r="K54" i="8" s="1"/>
  <c r="E68" i="6"/>
  <c r="E70" i="6" s="1"/>
  <c r="D64" i="6"/>
  <c r="J54" i="8" s="1"/>
  <c r="E62" i="6"/>
  <c r="E64" i="6" s="1"/>
  <c r="O73" i="11"/>
  <c r="M73" i="11"/>
  <c r="G73" i="11"/>
  <c r="O72" i="11"/>
  <c r="M72" i="11"/>
  <c r="G72" i="11"/>
  <c r="O71" i="11"/>
  <c r="M71" i="11"/>
  <c r="G71" i="11"/>
  <c r="Q82" i="11"/>
  <c r="O82" i="11"/>
  <c r="M82" i="11"/>
  <c r="G82" i="11"/>
  <c r="Q81" i="11"/>
  <c r="O81" i="11"/>
  <c r="M81" i="11"/>
  <c r="G81" i="11"/>
  <c r="O56" i="11"/>
  <c r="M56" i="11"/>
  <c r="G56" i="11"/>
  <c r="O55" i="11"/>
  <c r="M55" i="11"/>
  <c r="G55" i="11"/>
  <c r="O54" i="11"/>
  <c r="M54" i="11"/>
  <c r="G54" i="11"/>
  <c r="Q86" i="11"/>
  <c r="O86" i="11"/>
  <c r="M86" i="11"/>
  <c r="G86" i="11"/>
  <c r="Q42" i="11"/>
  <c r="O42" i="11"/>
  <c r="M42" i="11"/>
  <c r="G42" i="11"/>
  <c r="Q41" i="11"/>
  <c r="O41" i="11"/>
  <c r="M41" i="11"/>
  <c r="G41" i="11"/>
  <c r="Q40" i="11"/>
  <c r="O40" i="11"/>
  <c r="M40" i="11"/>
  <c r="G40" i="11"/>
  <c r="Q39" i="11"/>
  <c r="O39" i="11"/>
  <c r="M39" i="11"/>
  <c r="G39" i="11"/>
  <c r="Q28" i="11"/>
  <c r="O28" i="11"/>
  <c r="M28" i="11"/>
  <c r="G28" i="11"/>
  <c r="Q27" i="11"/>
  <c r="O27" i="11"/>
  <c r="M27" i="11"/>
  <c r="G27" i="11"/>
  <c r="Q26" i="11"/>
  <c r="O26" i="11"/>
  <c r="M26" i="11"/>
  <c r="G26" i="11"/>
  <c r="Q25" i="11"/>
  <c r="O25" i="11"/>
  <c r="M25" i="11"/>
  <c r="G25" i="11"/>
  <c r="Q24" i="11"/>
  <c r="O24" i="11"/>
  <c r="M24" i="11"/>
  <c r="G24" i="11"/>
  <c r="Q79" i="11"/>
  <c r="O79" i="11"/>
  <c r="M79" i="11"/>
  <c r="G79" i="11"/>
  <c r="Q78" i="11"/>
  <c r="O78" i="11"/>
  <c r="M78" i="11"/>
  <c r="G78" i="11"/>
  <c r="Q77" i="11"/>
  <c r="O77" i="11"/>
  <c r="M77" i="11"/>
  <c r="G77" i="11"/>
  <c r="Q23" i="11"/>
  <c r="O23" i="11"/>
  <c r="M23" i="11"/>
  <c r="G23" i="11"/>
  <c r="Q22" i="11"/>
  <c r="O22" i="11"/>
  <c r="M22" i="11"/>
  <c r="G22" i="11"/>
  <c r="Q21" i="11"/>
  <c r="O21" i="11"/>
  <c r="M21" i="11"/>
  <c r="G21" i="11"/>
  <c r="Q20" i="11"/>
  <c r="O20" i="11"/>
  <c r="M20" i="11"/>
  <c r="G20" i="11"/>
  <c r="Q8" i="11"/>
  <c r="O8" i="11"/>
  <c r="M8" i="11"/>
  <c r="G8" i="11"/>
  <c r="O53" i="11"/>
  <c r="M53" i="11"/>
  <c r="G53" i="11"/>
  <c r="O52" i="11"/>
  <c r="M52" i="11"/>
  <c r="G52" i="11"/>
  <c r="Q48" i="11"/>
  <c r="O48" i="11"/>
  <c r="M48" i="11"/>
  <c r="G48" i="11"/>
  <c r="Q47" i="11"/>
  <c r="O47" i="11"/>
  <c r="M47" i="11"/>
  <c r="G47" i="11"/>
  <c r="Q46" i="11"/>
  <c r="O46" i="11"/>
  <c r="M46" i="11"/>
  <c r="G46" i="11"/>
  <c r="Q19" i="11"/>
  <c r="O19" i="11"/>
  <c r="M19" i="11"/>
  <c r="G19" i="11"/>
  <c r="Q18" i="11"/>
  <c r="O18" i="11"/>
  <c r="M18" i="11"/>
  <c r="G18" i="11"/>
  <c r="Q17" i="11"/>
  <c r="O17" i="11"/>
  <c r="M17" i="11"/>
  <c r="G17" i="11"/>
  <c r="Q16" i="11"/>
  <c r="K9" i="6" s="1"/>
  <c r="O16" i="11"/>
  <c r="M16" i="11"/>
  <c r="G16" i="11"/>
  <c r="O70" i="11"/>
  <c r="M70" i="11"/>
  <c r="G70" i="11"/>
  <c r="Q80" i="11"/>
  <c r="O80" i="11"/>
  <c r="M80" i="11"/>
  <c r="G80" i="11"/>
  <c r="Q38" i="11"/>
  <c r="O38" i="11"/>
  <c r="M38" i="11"/>
  <c r="G38" i="11"/>
  <c r="O69" i="11"/>
  <c r="M69" i="11"/>
  <c r="G69" i="11"/>
  <c r="O74" i="11"/>
  <c r="M74" i="11"/>
  <c r="G74" i="11"/>
  <c r="Q87" i="11"/>
  <c r="O87" i="11"/>
  <c r="M87" i="11"/>
  <c r="G87" i="11"/>
  <c r="O68" i="11"/>
  <c r="M68" i="11"/>
  <c r="G68" i="11"/>
  <c r="O67" i="11"/>
  <c r="M67" i="11"/>
  <c r="G67" i="11"/>
  <c r="O66" i="11"/>
  <c r="M66" i="11"/>
  <c r="G66" i="11"/>
  <c r="O65" i="11"/>
  <c r="M65" i="11"/>
  <c r="G65" i="11"/>
  <c r="O76" i="11"/>
  <c r="M76" i="11"/>
  <c r="G76" i="11"/>
  <c r="Q83" i="11"/>
  <c r="O83" i="11"/>
  <c r="M83" i="11"/>
  <c r="G83" i="11"/>
  <c r="Q85" i="11"/>
  <c r="O85" i="11"/>
  <c r="M85" i="11"/>
  <c r="G85" i="11"/>
  <c r="Q84" i="11"/>
  <c r="O84" i="11"/>
  <c r="M84" i="11"/>
  <c r="G84" i="11"/>
  <c r="O64" i="11"/>
  <c r="M64" i="11"/>
  <c r="G64" i="11"/>
  <c r="O63" i="11"/>
  <c r="M63" i="11"/>
  <c r="G63" i="11"/>
  <c r="O62" i="11"/>
  <c r="M62" i="11"/>
  <c r="G62" i="11"/>
  <c r="O61" i="11"/>
  <c r="M61" i="11"/>
  <c r="G61" i="11"/>
  <c r="O60" i="11"/>
  <c r="M60" i="11"/>
  <c r="G60" i="11"/>
  <c r="O75" i="11"/>
  <c r="M75" i="11"/>
  <c r="G75" i="11"/>
  <c r="Q49" i="11"/>
  <c r="O49" i="11"/>
  <c r="M49" i="11"/>
  <c r="G49" i="11"/>
  <c r="Q45" i="11"/>
  <c r="O45" i="11"/>
  <c r="M45" i="11"/>
  <c r="G45" i="11"/>
  <c r="Q89" i="11"/>
  <c r="O89" i="11"/>
  <c r="M89" i="11"/>
  <c r="G89" i="11"/>
  <c r="Q88" i="11"/>
  <c r="O88" i="11"/>
  <c r="M88" i="11"/>
  <c r="G88" i="11"/>
  <c r="O59" i="11"/>
  <c r="M59" i="11"/>
  <c r="G59" i="11"/>
  <c r="O58" i="11"/>
  <c r="M58" i="11"/>
  <c r="G58" i="11"/>
  <c r="O57" i="11"/>
  <c r="M57" i="11"/>
  <c r="G57" i="11"/>
  <c r="Q51" i="11"/>
  <c r="O51" i="11"/>
  <c r="M51" i="11"/>
  <c r="G51" i="11"/>
  <c r="Q50" i="11"/>
  <c r="O50" i="11"/>
  <c r="M50" i="11"/>
  <c r="G50" i="11"/>
  <c r="Q2" i="11"/>
  <c r="O2" i="11"/>
  <c r="Q37" i="11"/>
  <c r="O37" i="11"/>
  <c r="M37" i="11"/>
  <c r="G37" i="11"/>
  <c r="Q36" i="11"/>
  <c r="O36" i="11"/>
  <c r="M36" i="11"/>
  <c r="G36" i="11"/>
  <c r="Q35" i="11"/>
  <c r="O35" i="11"/>
  <c r="M35" i="11"/>
  <c r="G35" i="11"/>
  <c r="Q34" i="11"/>
  <c r="O34" i="11"/>
  <c r="M34" i="11"/>
  <c r="G34" i="11"/>
  <c r="Q33" i="11"/>
  <c r="O33" i="11"/>
  <c r="M33" i="11"/>
  <c r="G33" i="11"/>
  <c r="Q32" i="11"/>
  <c r="O32" i="11"/>
  <c r="M32" i="11"/>
  <c r="G32" i="11"/>
  <c r="Q31" i="11"/>
  <c r="O31" i="11"/>
  <c r="M31" i="11"/>
  <c r="G31" i="11"/>
  <c r="Q30" i="11"/>
  <c r="O30" i="11"/>
  <c r="M30" i="11"/>
  <c r="G30" i="11"/>
  <c r="Q29" i="11"/>
  <c r="O29" i="11"/>
  <c r="M29" i="11"/>
  <c r="G29" i="11"/>
  <c r="Q15" i="11"/>
  <c r="O15" i="11"/>
  <c r="M15" i="11"/>
  <c r="G15" i="11"/>
  <c r="Q44" i="11"/>
  <c r="O44" i="11"/>
  <c r="M44" i="11"/>
  <c r="G44" i="11"/>
  <c r="Q7" i="11"/>
  <c r="O7" i="11"/>
  <c r="M7" i="11"/>
  <c r="G7" i="11"/>
  <c r="Q14" i="11"/>
  <c r="O14" i="11"/>
  <c r="M14" i="11"/>
  <c r="G14" i="11"/>
  <c r="Q13" i="11"/>
  <c r="O13" i="11"/>
  <c r="M13" i="11"/>
  <c r="G13" i="11"/>
  <c r="Q12" i="11"/>
  <c r="O12" i="11"/>
  <c r="M12" i="11"/>
  <c r="G12" i="11"/>
  <c r="Q11" i="11"/>
  <c r="O11" i="11"/>
  <c r="M11" i="11"/>
  <c r="G11" i="11"/>
  <c r="Q10" i="11"/>
  <c r="O10" i="11"/>
  <c r="M10" i="11"/>
  <c r="G10" i="11"/>
  <c r="Q9" i="11"/>
  <c r="O9" i="11"/>
  <c r="M9" i="11"/>
  <c r="G9" i="11"/>
  <c r="Q43" i="11"/>
  <c r="O43" i="11"/>
  <c r="M43" i="11"/>
  <c r="G43" i="11"/>
  <c r="Q6" i="11"/>
  <c r="O6" i="11"/>
  <c r="M6" i="11"/>
  <c r="G6" i="11"/>
  <c r="Q5" i="11"/>
  <c r="O5" i="11"/>
  <c r="M5" i="11"/>
  <c r="G5" i="11"/>
  <c r="Q4" i="11"/>
  <c r="O4" i="11"/>
  <c r="M4" i="11"/>
  <c r="G4" i="11"/>
  <c r="M3" i="11"/>
  <c r="G3" i="11"/>
  <c r="I48" i="6" l="1"/>
  <c r="K24" i="5"/>
  <c r="K23" i="6"/>
  <c r="I23" i="6"/>
  <c r="E84" i="6"/>
  <c r="E44" i="7"/>
  <c r="D45" i="7"/>
  <c r="H66" i="8" s="1"/>
  <c r="H64" i="8" s="1"/>
  <c r="F45" i="7"/>
  <c r="H45" i="7"/>
  <c r="I45" i="7"/>
  <c r="J45" i="7"/>
  <c r="K45" i="7"/>
  <c r="K40" i="7"/>
  <c r="J40" i="7"/>
  <c r="I40" i="7"/>
  <c r="H40" i="7"/>
  <c r="F40" i="7"/>
  <c r="D40" i="7"/>
  <c r="G70" i="8" s="1"/>
  <c r="E39" i="7"/>
  <c r="E40" i="7" s="1"/>
  <c r="K35" i="7"/>
  <c r="J35" i="7"/>
  <c r="I35" i="7"/>
  <c r="H35" i="7"/>
  <c r="F35" i="7"/>
  <c r="D35" i="7"/>
  <c r="F66" i="8" s="1"/>
  <c r="E34" i="7"/>
  <c r="E8" i="7"/>
  <c r="E9" i="7"/>
  <c r="E10" i="7"/>
  <c r="E11" i="7"/>
  <c r="E12" i="7"/>
  <c r="E13" i="7"/>
  <c r="E14" i="7"/>
  <c r="K101" i="4"/>
  <c r="J101" i="4"/>
  <c r="I101" i="4"/>
  <c r="H101" i="4"/>
  <c r="F101" i="4"/>
  <c r="D101" i="4"/>
  <c r="I34" i="8" s="1"/>
  <c r="E99" i="4"/>
  <c r="E14" i="4"/>
  <c r="E7" i="4"/>
  <c r="E98" i="7" l="1"/>
  <c r="G64" i="8"/>
  <c r="I36" i="8"/>
  <c r="I38" i="8"/>
  <c r="I40" i="8"/>
  <c r="F64" i="8"/>
  <c r="E35" i="7"/>
  <c r="E45" i="7"/>
  <c r="E101" i="4"/>
  <c r="K23" i="4" l="1"/>
  <c r="J23" i="4"/>
  <c r="I23" i="4"/>
  <c r="H23" i="4"/>
  <c r="F23" i="4"/>
  <c r="D23" i="4"/>
  <c r="E28" i="8" s="1"/>
  <c r="E21" i="4"/>
  <c r="E20" i="4"/>
  <c r="K29" i="4"/>
  <c r="J29" i="4"/>
  <c r="I29" i="4"/>
  <c r="H29" i="4"/>
  <c r="F29" i="4"/>
  <c r="D29" i="4"/>
  <c r="F28" i="8" s="1"/>
  <c r="I76" i="5"/>
  <c r="K76" i="5"/>
  <c r="J76" i="5"/>
  <c r="H76" i="5"/>
  <c r="F76" i="5"/>
  <c r="D76" i="5"/>
  <c r="J45" i="8" s="1"/>
  <c r="O75" i="5"/>
  <c r="E76" i="5"/>
  <c r="J49" i="8" l="1"/>
  <c r="J47" i="8"/>
  <c r="E23" i="4"/>
  <c r="E29" i="4"/>
  <c r="E30" i="5"/>
  <c r="E31" i="5"/>
  <c r="E32" i="5"/>
  <c r="E33" i="5"/>
  <c r="E34" i="5"/>
  <c r="E35" i="5"/>
  <c r="E36" i="5"/>
  <c r="E38" i="5"/>
  <c r="E39" i="5"/>
  <c r="E40" i="5"/>
  <c r="E41" i="5"/>
  <c r="E47" i="5"/>
  <c r="K9" i="5"/>
  <c r="J9" i="5"/>
  <c r="I9" i="5"/>
  <c r="H9" i="5"/>
  <c r="F9" i="5"/>
  <c r="D9" i="5"/>
  <c r="E7" i="5"/>
  <c r="C45" i="8" l="1"/>
  <c r="C49" i="8" s="1"/>
  <c r="E9" i="5"/>
  <c r="C47" i="8" l="1"/>
  <c r="J24" i="1" l="1"/>
  <c r="G55" i="12"/>
  <c r="G2" i="12"/>
  <c r="D64" i="7"/>
  <c r="K66" i="8" s="1"/>
  <c r="K64" i="8" s="1"/>
  <c r="D30" i="7"/>
  <c r="E66" i="8" s="1"/>
  <c r="E64" i="8" s="1"/>
  <c r="D25" i="7"/>
  <c r="D104" i="6"/>
  <c r="N54" i="8" s="1"/>
  <c r="D69" i="5"/>
  <c r="I45" i="8" s="1"/>
  <c r="D48" i="5"/>
  <c r="D107" i="5" s="1"/>
  <c r="D110" i="5" s="1"/>
  <c r="D24" i="5"/>
  <c r="D76" i="4"/>
  <c r="D59" i="4"/>
  <c r="D61" i="4" s="1"/>
  <c r="F127" i="1"/>
  <c r="F122" i="2"/>
  <c r="F127" i="3"/>
  <c r="F153" i="5"/>
  <c r="F139" i="7"/>
  <c r="E101" i="6"/>
  <c r="E54" i="6"/>
  <c r="G32" i="12"/>
  <c r="F32" i="12"/>
  <c r="D32" i="12"/>
  <c r="G31" i="12"/>
  <c r="F31" i="12"/>
  <c r="D31" i="12"/>
  <c r="L3" i="7"/>
  <c r="L3" i="5"/>
  <c r="L3" i="6"/>
  <c r="L138" i="6" s="1"/>
  <c r="J16" i="4"/>
  <c r="L3" i="4"/>
  <c r="L3" i="2"/>
  <c r="L3" i="3" s="1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62" i="12"/>
  <c r="H62" i="12"/>
  <c r="G63" i="12"/>
  <c r="H63" i="12"/>
  <c r="G64" i="12"/>
  <c r="H64" i="12"/>
  <c r="G65" i="12"/>
  <c r="H65" i="12"/>
  <c r="G66" i="12"/>
  <c r="H66" i="12"/>
  <c r="G67" i="12"/>
  <c r="H67" i="12"/>
  <c r="G68" i="12"/>
  <c r="H68" i="12"/>
  <c r="G69" i="12"/>
  <c r="H69" i="12"/>
  <c r="G70" i="12"/>
  <c r="H70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7" i="12"/>
  <c r="H77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7" i="12"/>
  <c r="H87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H99" i="12"/>
  <c r="H98" i="12"/>
  <c r="E95" i="12"/>
  <c r="E101" i="12" s="1"/>
  <c r="C95" i="12"/>
  <c r="B95" i="12"/>
  <c r="D94" i="12"/>
  <c r="H94" i="12" s="1"/>
  <c r="G30" i="12"/>
  <c r="F30" i="12"/>
  <c r="D30" i="12"/>
  <c r="G29" i="12"/>
  <c r="F29" i="12"/>
  <c r="D29" i="12"/>
  <c r="G28" i="12"/>
  <c r="F28" i="12"/>
  <c r="D28" i="12"/>
  <c r="G27" i="12"/>
  <c r="F27" i="12"/>
  <c r="D27" i="12"/>
  <c r="G26" i="12"/>
  <c r="F26" i="12"/>
  <c r="D26" i="12"/>
  <c r="G25" i="12"/>
  <c r="F25" i="12"/>
  <c r="D25" i="12"/>
  <c r="G24" i="12"/>
  <c r="F24" i="12"/>
  <c r="D24" i="12"/>
  <c r="G23" i="12"/>
  <c r="F23" i="12"/>
  <c r="D23" i="12"/>
  <c r="G22" i="12"/>
  <c r="F22" i="12"/>
  <c r="D22" i="12"/>
  <c r="G21" i="12"/>
  <c r="F21" i="12"/>
  <c r="D21" i="12"/>
  <c r="G20" i="12"/>
  <c r="F20" i="12"/>
  <c r="D20" i="12"/>
  <c r="G19" i="12"/>
  <c r="F19" i="12"/>
  <c r="D19" i="12"/>
  <c r="G18" i="12"/>
  <c r="F18" i="12"/>
  <c r="D18" i="12"/>
  <c r="G17" i="12"/>
  <c r="F17" i="12"/>
  <c r="D17" i="12"/>
  <c r="G16" i="12"/>
  <c r="F16" i="12"/>
  <c r="D16" i="12"/>
  <c r="G15" i="12"/>
  <c r="F15" i="12"/>
  <c r="L11" i="3" s="1"/>
  <c r="D15" i="12"/>
  <c r="G14" i="12"/>
  <c r="F14" i="12"/>
  <c r="D14" i="12"/>
  <c r="G13" i="12"/>
  <c r="F13" i="12"/>
  <c r="D13" i="12"/>
  <c r="G12" i="12"/>
  <c r="F12" i="12"/>
  <c r="D12" i="12"/>
  <c r="G11" i="12"/>
  <c r="F11" i="12"/>
  <c r="D11" i="12"/>
  <c r="G10" i="12"/>
  <c r="F10" i="12"/>
  <c r="D10" i="12"/>
  <c r="G9" i="12"/>
  <c r="F9" i="12"/>
  <c r="D9" i="12"/>
  <c r="G8" i="12"/>
  <c r="F8" i="12"/>
  <c r="D8" i="12"/>
  <c r="G7" i="12"/>
  <c r="F7" i="12"/>
  <c r="D7" i="12"/>
  <c r="G6" i="12"/>
  <c r="F6" i="12"/>
  <c r="D6" i="12"/>
  <c r="G5" i="12"/>
  <c r="F5" i="12"/>
  <c r="D5" i="12"/>
  <c r="G4" i="12"/>
  <c r="F4" i="12"/>
  <c r="D4" i="12"/>
  <c r="G3" i="12"/>
  <c r="F3" i="12"/>
  <c r="D3" i="12"/>
  <c r="F2" i="12"/>
  <c r="D2" i="12"/>
  <c r="K11" i="3"/>
  <c r="M150" i="6"/>
  <c r="E12" i="2"/>
  <c r="K12" i="2"/>
  <c r="J12" i="2"/>
  <c r="H12" i="2"/>
  <c r="F12" i="2"/>
  <c r="D12" i="2"/>
  <c r="D18" i="2" s="1"/>
  <c r="D140" i="6" s="1"/>
  <c r="E22" i="6"/>
  <c r="I79" i="7"/>
  <c r="I103" i="7" s="1"/>
  <c r="I85" i="7"/>
  <c r="I104" i="7" s="1"/>
  <c r="I74" i="4"/>
  <c r="E93" i="4"/>
  <c r="E92" i="4"/>
  <c r="E95" i="4" s="1"/>
  <c r="E62" i="8"/>
  <c r="D62" i="8"/>
  <c r="C62" i="8"/>
  <c r="E107" i="6"/>
  <c r="F107" i="6"/>
  <c r="G107" i="6"/>
  <c r="H107" i="6"/>
  <c r="I107" i="6"/>
  <c r="K107" i="6"/>
  <c r="L107" i="6"/>
  <c r="M107" i="6"/>
  <c r="E89" i="6"/>
  <c r="E62" i="7"/>
  <c r="K64" i="7"/>
  <c r="I64" i="7"/>
  <c r="J64" i="7"/>
  <c r="K52" i="7"/>
  <c r="J52" i="7"/>
  <c r="I52" i="7"/>
  <c r="G52" i="7"/>
  <c r="D52" i="7"/>
  <c r="I66" i="8" s="1"/>
  <c r="I64" i="8" s="1"/>
  <c r="F52" i="7"/>
  <c r="E50" i="7"/>
  <c r="E27" i="6"/>
  <c r="E103" i="6"/>
  <c r="E102" i="6"/>
  <c r="E100" i="6"/>
  <c r="K87" i="4"/>
  <c r="I87" i="4"/>
  <c r="H87" i="4"/>
  <c r="F87" i="4"/>
  <c r="D87" i="4"/>
  <c r="E24" i="1"/>
  <c r="K24" i="1"/>
  <c r="I24" i="1"/>
  <c r="H24" i="1"/>
  <c r="F24" i="1"/>
  <c r="D24" i="1"/>
  <c r="J76" i="4"/>
  <c r="H76" i="4"/>
  <c r="F76" i="4"/>
  <c r="K76" i="4"/>
  <c r="E74" i="4"/>
  <c r="E73" i="4"/>
  <c r="E72" i="4"/>
  <c r="E69" i="4"/>
  <c r="E68" i="4"/>
  <c r="E67" i="4"/>
  <c r="E66" i="4"/>
  <c r="K25" i="7"/>
  <c r="I25" i="7"/>
  <c r="J25" i="7"/>
  <c r="E23" i="7"/>
  <c r="H25" i="7"/>
  <c r="E22" i="7"/>
  <c r="I24" i="5"/>
  <c r="H24" i="5"/>
  <c r="F24" i="5"/>
  <c r="J24" i="5"/>
  <c r="E13" i="5"/>
  <c r="K16" i="4"/>
  <c r="I16" i="4"/>
  <c r="H16" i="4"/>
  <c r="F16" i="4"/>
  <c r="D16" i="4"/>
  <c r="D28" i="8" s="1"/>
  <c r="E13" i="4"/>
  <c r="E16" i="4" s="1"/>
  <c r="K79" i="7"/>
  <c r="J79" i="7"/>
  <c r="G79" i="7"/>
  <c r="D79" i="7"/>
  <c r="M78" i="7"/>
  <c r="O78" i="7" s="1"/>
  <c r="H79" i="7"/>
  <c r="F79" i="7"/>
  <c r="E77" i="7"/>
  <c r="K30" i="1"/>
  <c r="I30" i="1"/>
  <c r="H30" i="1"/>
  <c r="D30" i="1"/>
  <c r="F11" i="8" s="1"/>
  <c r="F5" i="8" s="1"/>
  <c r="C19" i="8"/>
  <c r="D19" i="8"/>
  <c r="E7" i="7"/>
  <c r="E15" i="7"/>
  <c r="E16" i="7"/>
  <c r="I18" i="7"/>
  <c r="J18" i="7"/>
  <c r="K18" i="7"/>
  <c r="E29" i="7"/>
  <c r="F30" i="7"/>
  <c r="I30" i="7"/>
  <c r="K30" i="7"/>
  <c r="E56" i="7"/>
  <c r="D58" i="7"/>
  <c r="D99" i="7" s="1"/>
  <c r="I58" i="7"/>
  <c r="I99" i="7" s="1"/>
  <c r="J58" i="7"/>
  <c r="J99" i="7" s="1"/>
  <c r="K58" i="7"/>
  <c r="K99" i="7" s="1"/>
  <c r="E83" i="7"/>
  <c r="M84" i="7"/>
  <c r="O84" i="7" s="1"/>
  <c r="D85" i="7"/>
  <c r="M66" i="8" s="1"/>
  <c r="F85" i="7"/>
  <c r="H85" i="7"/>
  <c r="J85" i="7"/>
  <c r="K85" i="7"/>
  <c r="F41" i="6"/>
  <c r="D41" i="6"/>
  <c r="H41" i="6"/>
  <c r="I41" i="6"/>
  <c r="I153" i="6" s="1"/>
  <c r="I145" i="6" s="1"/>
  <c r="E53" i="6"/>
  <c r="D58" i="6"/>
  <c r="E96" i="6"/>
  <c r="E97" i="6"/>
  <c r="E98" i="6"/>
  <c r="E99" i="6"/>
  <c r="I104" i="6"/>
  <c r="K104" i="6"/>
  <c r="L104" i="6"/>
  <c r="E112" i="6"/>
  <c r="E113" i="6"/>
  <c r="D124" i="6"/>
  <c r="E124" i="6"/>
  <c r="F124" i="6"/>
  <c r="I124" i="6"/>
  <c r="K124" i="6"/>
  <c r="L124" i="6"/>
  <c r="E130" i="6"/>
  <c r="D131" i="6"/>
  <c r="C59" i="8" s="1"/>
  <c r="F131" i="6"/>
  <c r="F133" i="6" s="1"/>
  <c r="H131" i="6"/>
  <c r="H133" i="6" s="1"/>
  <c r="I131" i="6"/>
  <c r="I133" i="6" s="1"/>
  <c r="K131" i="6"/>
  <c r="K133" i="6" s="1"/>
  <c r="L131" i="6"/>
  <c r="L133" i="6" s="1"/>
  <c r="E29" i="5"/>
  <c r="F48" i="5"/>
  <c r="F107" i="5" s="1"/>
  <c r="F110" i="5" s="1"/>
  <c r="H48" i="5"/>
  <c r="H107" i="5" s="1"/>
  <c r="H110" i="5" s="1"/>
  <c r="I48" i="5"/>
  <c r="K48" i="5"/>
  <c r="K107" i="5" s="1"/>
  <c r="K110" i="5" s="1"/>
  <c r="E52" i="5"/>
  <c r="E54" i="5" s="1"/>
  <c r="D54" i="5"/>
  <c r="F45" i="8" s="1"/>
  <c r="F54" i="5"/>
  <c r="H54" i="5"/>
  <c r="I54" i="5"/>
  <c r="J54" i="5"/>
  <c r="K54" i="5"/>
  <c r="E59" i="5"/>
  <c r="D61" i="5"/>
  <c r="G45" i="8" s="1"/>
  <c r="F61" i="5"/>
  <c r="H61" i="5"/>
  <c r="I61" i="5"/>
  <c r="J61" i="5"/>
  <c r="K61" i="5"/>
  <c r="E66" i="5"/>
  <c r="E67" i="5"/>
  <c r="F69" i="5"/>
  <c r="H69" i="5"/>
  <c r="I69" i="5"/>
  <c r="J69" i="5"/>
  <c r="K69" i="5"/>
  <c r="F94" i="5"/>
  <c r="H94" i="5"/>
  <c r="I94" i="5"/>
  <c r="J94" i="5"/>
  <c r="K94" i="5"/>
  <c r="D9" i="4"/>
  <c r="F9" i="4"/>
  <c r="H9" i="4"/>
  <c r="I9" i="4"/>
  <c r="J9" i="4"/>
  <c r="K9" i="4"/>
  <c r="E33" i="4"/>
  <c r="E34" i="4"/>
  <c r="F40" i="4"/>
  <c r="H40" i="4"/>
  <c r="E35" i="4"/>
  <c r="E36" i="4"/>
  <c r="E37" i="4"/>
  <c r="E38" i="4"/>
  <c r="M39" i="4"/>
  <c r="O39" i="4" s="1"/>
  <c r="D40" i="4"/>
  <c r="G28" i="8" s="1"/>
  <c r="I40" i="4"/>
  <c r="J40" i="4"/>
  <c r="K40" i="4"/>
  <c r="M48" i="4"/>
  <c r="O48" i="4" s="1"/>
  <c r="E49" i="4"/>
  <c r="F49" i="4"/>
  <c r="H49" i="4"/>
  <c r="I49" i="4"/>
  <c r="J49" i="4"/>
  <c r="K49" i="4"/>
  <c r="M58" i="4"/>
  <c r="O58" i="4" s="1"/>
  <c r="E59" i="4"/>
  <c r="E61" i="4" s="1"/>
  <c r="F59" i="4"/>
  <c r="F61" i="4" s="1"/>
  <c r="H59" i="4"/>
  <c r="H61" i="4" s="1"/>
  <c r="I59" i="4"/>
  <c r="I61" i="4" s="1"/>
  <c r="J59" i="4"/>
  <c r="J61" i="4" s="1"/>
  <c r="K59" i="4"/>
  <c r="K61" i="4" s="1"/>
  <c r="E11" i="3"/>
  <c r="D11" i="3"/>
  <c r="F11" i="3"/>
  <c r="H11" i="3"/>
  <c r="I11" i="3"/>
  <c r="J11" i="3"/>
  <c r="E16" i="3"/>
  <c r="D16" i="3"/>
  <c r="F16" i="3"/>
  <c r="H16" i="3"/>
  <c r="I16" i="3"/>
  <c r="J16" i="3"/>
  <c r="D11" i="1"/>
  <c r="E40" i="1"/>
  <c r="D18" i="1"/>
  <c r="H18" i="7"/>
  <c r="F18" i="7"/>
  <c r="H64" i="7"/>
  <c r="F64" i="7"/>
  <c r="F25" i="7"/>
  <c r="F97" i="7" l="1"/>
  <c r="D97" i="7"/>
  <c r="I97" i="7"/>
  <c r="K97" i="7"/>
  <c r="K96" i="7" s="1"/>
  <c r="K102" i="7" s="1"/>
  <c r="K146" i="6" s="1"/>
  <c r="E58" i="6"/>
  <c r="F144" i="6"/>
  <c r="D45" i="1"/>
  <c r="E11" i="8"/>
  <c r="B11" i="8" s="1"/>
  <c r="D42" i="1"/>
  <c r="D43" i="1" s="1"/>
  <c r="D139" i="6" s="1"/>
  <c r="K108" i="4"/>
  <c r="K142" i="6" s="1"/>
  <c r="F42" i="1"/>
  <c r="F43" i="1" s="1"/>
  <c r="F139" i="6" s="1"/>
  <c r="F45" i="1"/>
  <c r="K42" i="1"/>
  <c r="K43" i="1" s="1"/>
  <c r="K139" i="6" s="1"/>
  <c r="K45" i="1"/>
  <c r="H42" i="1"/>
  <c r="H43" i="1" s="1"/>
  <c r="H139" i="6" s="1"/>
  <c r="H45" i="1"/>
  <c r="I42" i="1"/>
  <c r="I43" i="1" s="1"/>
  <c r="I139" i="6" s="1"/>
  <c r="I45" i="1"/>
  <c r="K22" i="3"/>
  <c r="K19" i="3"/>
  <c r="K141" i="6" s="1"/>
  <c r="H23" i="12"/>
  <c r="J22" i="3"/>
  <c r="F22" i="3"/>
  <c r="I126" i="6"/>
  <c r="D22" i="3"/>
  <c r="D141" i="6" s="1"/>
  <c r="H9" i="12"/>
  <c r="H31" i="12"/>
  <c r="I22" i="3"/>
  <c r="I96" i="7"/>
  <c r="I102" i="7" s="1"/>
  <c r="I146" i="6" s="1"/>
  <c r="G54" i="8"/>
  <c r="D153" i="6"/>
  <c r="D145" i="6" s="1"/>
  <c r="K126" i="6"/>
  <c r="K135" i="6" s="1"/>
  <c r="K153" i="6"/>
  <c r="K145" i="6" s="1"/>
  <c r="I54" i="8"/>
  <c r="D126" i="6"/>
  <c r="B59" i="8"/>
  <c r="D133" i="6"/>
  <c r="L153" i="6"/>
  <c r="L145" i="6" s="1"/>
  <c r="L126" i="6"/>
  <c r="L135" i="6" s="1"/>
  <c r="K144" i="6"/>
  <c r="D144" i="6"/>
  <c r="H144" i="6"/>
  <c r="I144" i="6"/>
  <c r="F108" i="4"/>
  <c r="F142" i="6" s="1"/>
  <c r="H108" i="4"/>
  <c r="H142" i="6" s="1"/>
  <c r="D103" i="4"/>
  <c r="D108" i="4"/>
  <c r="D142" i="6" s="1"/>
  <c r="H22" i="3"/>
  <c r="L22" i="3"/>
  <c r="J16" i="2"/>
  <c r="J18" i="2"/>
  <c r="H16" i="2"/>
  <c r="H18" i="2"/>
  <c r="F16" i="2"/>
  <c r="F140" i="6" s="1"/>
  <c r="F18" i="2"/>
  <c r="K16" i="2"/>
  <c r="K18" i="2"/>
  <c r="E16" i="2"/>
  <c r="E18" i="2"/>
  <c r="E22" i="3"/>
  <c r="I19" i="3"/>
  <c r="I141" i="6" s="1"/>
  <c r="E114" i="6"/>
  <c r="E41" i="1"/>
  <c r="L70" i="8"/>
  <c r="L64" i="8" s="1"/>
  <c r="J51" i="4"/>
  <c r="H51" i="4"/>
  <c r="F51" i="4"/>
  <c r="C28" i="8"/>
  <c r="B28" i="8" s="1"/>
  <c r="D51" i="4"/>
  <c r="I51" i="4"/>
  <c r="K51" i="4"/>
  <c r="F19" i="3"/>
  <c r="F141" i="6" s="1"/>
  <c r="E23" i="6"/>
  <c r="E31" i="6"/>
  <c r="E45" i="8"/>
  <c r="E49" i="8" s="1"/>
  <c r="F103" i="4"/>
  <c r="H103" i="4"/>
  <c r="J70" i="8"/>
  <c r="H58" i="7"/>
  <c r="H99" i="7" s="1"/>
  <c r="D66" i="8"/>
  <c r="B66" i="8" s="1"/>
  <c r="E69" i="5"/>
  <c r="K103" i="4"/>
  <c r="C34" i="8"/>
  <c r="C40" i="8" s="1"/>
  <c r="E9" i="6"/>
  <c r="G30" i="1"/>
  <c r="H52" i="7"/>
  <c r="H97" i="7" s="1"/>
  <c r="J19" i="3"/>
  <c r="J141" i="6" s="1"/>
  <c r="H10" i="12"/>
  <c r="H30" i="12"/>
  <c r="E34" i="8"/>
  <c r="G47" i="8"/>
  <c r="G49" i="8"/>
  <c r="I47" i="8"/>
  <c r="I49" i="8"/>
  <c r="M64" i="8"/>
  <c r="F49" i="8"/>
  <c r="F47" i="8"/>
  <c r="D45" i="8"/>
  <c r="H6" i="12"/>
  <c r="H7" i="12"/>
  <c r="H8" i="12"/>
  <c r="H11" i="12"/>
  <c r="H13" i="12"/>
  <c r="H21" i="12"/>
  <c r="H104" i="6"/>
  <c r="F104" i="6"/>
  <c r="F126" i="6" s="1"/>
  <c r="F135" i="6" s="1"/>
  <c r="H124" i="6"/>
  <c r="E41" i="6"/>
  <c r="H19" i="3"/>
  <c r="H141" i="6" s="1"/>
  <c r="M50" i="7"/>
  <c r="M52" i="7" s="1"/>
  <c r="E52" i="7"/>
  <c r="F58" i="7"/>
  <c r="F99" i="7" s="1"/>
  <c r="J30" i="7"/>
  <c r="J97" i="7" s="1"/>
  <c r="E58" i="7"/>
  <c r="E99" i="7" s="1"/>
  <c r="J87" i="4"/>
  <c r="J108" i="4" s="1"/>
  <c r="J142" i="6" s="1"/>
  <c r="I76" i="4"/>
  <c r="H34" i="8"/>
  <c r="E87" i="4"/>
  <c r="J48" i="5"/>
  <c r="E30" i="7"/>
  <c r="E61" i="5"/>
  <c r="D16" i="2"/>
  <c r="C16" i="8" s="1"/>
  <c r="B16" i="8" s="1"/>
  <c r="L19" i="3"/>
  <c r="L141" i="6" s="1"/>
  <c r="D19" i="3"/>
  <c r="E85" i="7"/>
  <c r="E19" i="3"/>
  <c r="E141" i="6" s="1"/>
  <c r="E18" i="7"/>
  <c r="J30" i="1"/>
  <c r="J42" i="1" s="1"/>
  <c r="J43" i="1" s="1"/>
  <c r="J139" i="6" s="1"/>
  <c r="H3" i="12"/>
  <c r="H12" i="12"/>
  <c r="H16" i="12"/>
  <c r="H20" i="12"/>
  <c r="H24" i="12"/>
  <c r="H32" i="12"/>
  <c r="G95" i="12"/>
  <c r="B103" i="12" s="1"/>
  <c r="H15" i="12"/>
  <c r="H14" i="12"/>
  <c r="H22" i="12"/>
  <c r="H27" i="12"/>
  <c r="M28" i="1"/>
  <c r="M30" i="1" s="1"/>
  <c r="L42" i="1"/>
  <c r="L43" i="1" s="1"/>
  <c r="L139" i="6" s="1"/>
  <c r="H25" i="12"/>
  <c r="H17" i="12"/>
  <c r="H4" i="12"/>
  <c r="H18" i="12"/>
  <c r="H26" i="12"/>
  <c r="B97" i="12"/>
  <c r="H19" i="12"/>
  <c r="H28" i="12"/>
  <c r="H29" i="12"/>
  <c r="H5" i="12"/>
  <c r="H2" i="12"/>
  <c r="E30" i="1"/>
  <c r="E42" i="1" s="1"/>
  <c r="E18" i="1"/>
  <c r="E40" i="4"/>
  <c r="E48" i="5"/>
  <c r="E79" i="7"/>
  <c r="M77" i="7"/>
  <c r="E25" i="7"/>
  <c r="E64" i="7"/>
  <c r="E24" i="5"/>
  <c r="E104" i="6"/>
  <c r="E11" i="1"/>
  <c r="E9" i="4"/>
  <c r="E76" i="4"/>
  <c r="E131" i="6"/>
  <c r="E107" i="5" l="1"/>
  <c r="E110" i="5" s="1"/>
  <c r="E144" i="6" s="1"/>
  <c r="E97" i="7"/>
  <c r="E5" i="8"/>
  <c r="B5" i="8" s="1"/>
  <c r="F15" i="2"/>
  <c r="H15" i="2"/>
  <c r="H140" i="6"/>
  <c r="L45" i="1"/>
  <c r="K15" i="2"/>
  <c r="K140" i="6"/>
  <c r="J15" i="2"/>
  <c r="J140" i="6"/>
  <c r="H153" i="6"/>
  <c r="E15" i="2"/>
  <c r="E140" i="6"/>
  <c r="E45" i="1"/>
  <c r="E43" i="1"/>
  <c r="E139" i="6" s="1"/>
  <c r="D135" i="6"/>
  <c r="D154" i="6" s="1"/>
  <c r="J45" i="1"/>
  <c r="I103" i="4"/>
  <c r="I105" i="4" s="1"/>
  <c r="I109" i="4"/>
  <c r="I108" i="4"/>
  <c r="I142" i="6" s="1"/>
  <c r="E96" i="7"/>
  <c r="E102" i="7" s="1"/>
  <c r="E146" i="6" s="1"/>
  <c r="B70" i="8"/>
  <c r="B54" i="8"/>
  <c r="L154" i="6"/>
  <c r="F153" i="6"/>
  <c r="H126" i="6"/>
  <c r="H135" i="6" s="1"/>
  <c r="H145" i="6" s="1"/>
  <c r="J144" i="6"/>
  <c r="L16" i="2"/>
  <c r="L18" i="2"/>
  <c r="E126" i="6"/>
  <c r="E153" i="6"/>
  <c r="E145" i="6" s="1"/>
  <c r="E133" i="6"/>
  <c r="E108" i="4"/>
  <c r="E142" i="6" s="1"/>
  <c r="K154" i="6"/>
  <c r="H96" i="7"/>
  <c r="H102" i="7" s="1"/>
  <c r="H146" i="6" s="1"/>
  <c r="F96" i="7"/>
  <c r="F102" i="7" s="1"/>
  <c r="F146" i="6" s="1"/>
  <c r="J96" i="7"/>
  <c r="J102" i="7" s="1"/>
  <c r="J146" i="6" s="1"/>
  <c r="E51" i="4"/>
  <c r="J64" i="8"/>
  <c r="D64" i="8"/>
  <c r="E47" i="8"/>
  <c r="D105" i="4"/>
  <c r="B45" i="8"/>
  <c r="B47" i="8" s="1"/>
  <c r="E103" i="4"/>
  <c r="J103" i="4"/>
  <c r="J105" i="4" s="1"/>
  <c r="C38" i="8"/>
  <c r="C36" i="8"/>
  <c r="H36" i="8"/>
  <c r="H40" i="8"/>
  <c r="H38" i="8"/>
  <c r="E40" i="8"/>
  <c r="E38" i="8"/>
  <c r="B34" i="8"/>
  <c r="E36" i="8"/>
  <c r="D47" i="8"/>
  <c r="D49" i="8"/>
  <c r="I135" i="6"/>
  <c r="I154" i="6" s="1"/>
  <c r="D15" i="2"/>
  <c r="K105" i="4"/>
  <c r="F105" i="4"/>
  <c r="H105" i="4"/>
  <c r="M79" i="7"/>
  <c r="L15" i="2" l="1"/>
  <c r="L140" i="6"/>
  <c r="F154" i="6"/>
  <c r="F145" i="6"/>
  <c r="K148" i="6"/>
  <c r="E135" i="6"/>
  <c r="E154" i="6" s="1"/>
  <c r="B64" i="8"/>
  <c r="I5" i="8" s="1"/>
  <c r="I148" i="6"/>
  <c r="H154" i="6"/>
  <c r="B38" i="8"/>
  <c r="B40" i="8"/>
  <c r="B36" i="8"/>
  <c r="J148" i="6"/>
  <c r="B49" i="8"/>
  <c r="H148" i="6"/>
  <c r="E105" i="4"/>
  <c r="G94" i="4" l="1"/>
  <c r="M94" i="4" s="1"/>
  <c r="G91" i="7"/>
  <c r="M91" i="7" s="1"/>
  <c r="O91" i="7" s="1"/>
  <c r="G90" i="7"/>
  <c r="M90" i="7" s="1"/>
  <c r="O90" i="7" s="1"/>
  <c r="G89" i="7"/>
  <c r="M89" i="7" s="1"/>
  <c r="O89" i="7" s="1"/>
  <c r="G88" i="7"/>
  <c r="G92" i="7"/>
  <c r="M92" i="7" s="1"/>
  <c r="O92" i="7" s="1"/>
  <c r="G130" i="6"/>
  <c r="G9" i="3"/>
  <c r="M9" i="3" s="1"/>
  <c r="G22" i="7"/>
  <c r="G86" i="5"/>
  <c r="G14" i="7"/>
  <c r="M14" i="7" s="1"/>
  <c r="G29" i="7"/>
  <c r="M29" i="7" s="1"/>
  <c r="M30" i="7" s="1"/>
  <c r="G74" i="5"/>
  <c r="M74" i="5" s="1"/>
  <c r="G11" i="7"/>
  <c r="M11" i="7" s="1"/>
  <c r="G123" i="6"/>
  <c r="M123" i="6" s="1"/>
  <c r="O123" i="6" s="1"/>
  <c r="G122" i="6"/>
  <c r="M122" i="6" s="1"/>
  <c r="O122" i="6" s="1"/>
  <c r="G121" i="6"/>
  <c r="M121" i="6" s="1"/>
  <c r="O121" i="6" s="1"/>
  <c r="G120" i="6"/>
  <c r="G10" i="7"/>
  <c r="M10" i="7" s="1"/>
  <c r="G92" i="5"/>
  <c r="M92" i="5" s="1"/>
  <c r="G13" i="7"/>
  <c r="M13" i="7" s="1"/>
  <c r="G62" i="7"/>
  <c r="G15" i="3"/>
  <c r="G24" i="7"/>
  <c r="M24" i="7" s="1"/>
  <c r="G91" i="5"/>
  <c r="M91" i="5" s="1"/>
  <c r="G80" i="5"/>
  <c r="G12" i="7"/>
  <c r="M12" i="7" s="1"/>
  <c r="G83" i="7"/>
  <c r="G10" i="3"/>
  <c r="M10" i="3" s="1"/>
  <c r="G23" i="7"/>
  <c r="M23" i="7" s="1"/>
  <c r="G90" i="5"/>
  <c r="M90" i="5" s="1"/>
  <c r="G34" i="7"/>
  <c r="G73" i="5"/>
  <c r="G67" i="5"/>
  <c r="M67" i="5" s="1"/>
  <c r="G56" i="7"/>
  <c r="G66" i="5"/>
  <c r="G7" i="7"/>
  <c r="G89" i="5"/>
  <c r="M89" i="5" s="1"/>
  <c r="G44" i="7"/>
  <c r="G8" i="7"/>
  <c r="M8" i="7" s="1"/>
  <c r="G16" i="7"/>
  <c r="M16" i="7" s="1"/>
  <c r="G15" i="7"/>
  <c r="M15" i="7" s="1"/>
  <c r="G39" i="7"/>
  <c r="G59" i="5"/>
  <c r="G9" i="7"/>
  <c r="G88" i="5"/>
  <c r="M88" i="5" s="1"/>
  <c r="G8" i="3"/>
  <c r="G52" i="5"/>
  <c r="G87" i="5"/>
  <c r="M87" i="5" s="1"/>
  <c r="G47" i="5"/>
  <c r="M47" i="5" s="1"/>
  <c r="G39" i="5"/>
  <c r="M39" i="5" s="1"/>
  <c r="G31" i="5"/>
  <c r="M31" i="5" s="1"/>
  <c r="G17" i="5"/>
  <c r="M17" i="5" s="1"/>
  <c r="G32" i="5"/>
  <c r="M32" i="5" s="1"/>
  <c r="G46" i="5"/>
  <c r="M46" i="5" s="1"/>
  <c r="G38" i="5"/>
  <c r="M38" i="5" s="1"/>
  <c r="G30" i="5"/>
  <c r="M30" i="5" s="1"/>
  <c r="G16" i="5"/>
  <c r="M16" i="5" s="1"/>
  <c r="G18" i="5"/>
  <c r="M18" i="5" s="1"/>
  <c r="G45" i="5"/>
  <c r="M45" i="5" s="1"/>
  <c r="G37" i="5"/>
  <c r="M37" i="5" s="1"/>
  <c r="G29" i="5"/>
  <c r="G15" i="5"/>
  <c r="M15" i="5" s="1"/>
  <c r="G44" i="5"/>
  <c r="M44" i="5" s="1"/>
  <c r="G36" i="5"/>
  <c r="M36" i="5" s="1"/>
  <c r="G22" i="5"/>
  <c r="M22" i="5" s="1"/>
  <c r="G14" i="5"/>
  <c r="M14" i="5" s="1"/>
  <c r="G43" i="5"/>
  <c r="M43" i="5" s="1"/>
  <c r="G35" i="5"/>
  <c r="M35" i="5" s="1"/>
  <c r="G21" i="5"/>
  <c r="M21" i="5" s="1"/>
  <c r="G13" i="5"/>
  <c r="G42" i="5"/>
  <c r="M42" i="5" s="1"/>
  <c r="G34" i="5"/>
  <c r="M34" i="5" s="1"/>
  <c r="G20" i="5"/>
  <c r="M20" i="5" s="1"/>
  <c r="G7" i="5"/>
  <c r="G40" i="5"/>
  <c r="M40" i="5" s="1"/>
  <c r="G41" i="5"/>
  <c r="M41" i="5" s="1"/>
  <c r="G33" i="5"/>
  <c r="M33" i="5" s="1"/>
  <c r="G19" i="5"/>
  <c r="M19" i="5" s="1"/>
  <c r="G99" i="4"/>
  <c r="G81" i="4"/>
  <c r="M81" i="4" s="1"/>
  <c r="G67" i="4"/>
  <c r="M67" i="4" s="1"/>
  <c r="G37" i="4"/>
  <c r="M37" i="4" s="1"/>
  <c r="G84" i="4"/>
  <c r="M84" i="4" s="1"/>
  <c r="G27" i="4"/>
  <c r="G38" i="4"/>
  <c r="M38" i="4" s="1"/>
  <c r="G93" i="4"/>
  <c r="M93" i="4" s="1"/>
  <c r="G80" i="4"/>
  <c r="G66" i="4"/>
  <c r="G36" i="4"/>
  <c r="M36" i="4" s="1"/>
  <c r="G82" i="4"/>
  <c r="M82" i="4" s="1"/>
  <c r="G92" i="4"/>
  <c r="M92" i="4" s="1"/>
  <c r="G75" i="4"/>
  <c r="M75" i="4" s="1"/>
  <c r="G57" i="4"/>
  <c r="G35" i="4"/>
  <c r="M35" i="4" s="1"/>
  <c r="G44" i="4"/>
  <c r="G91" i="4"/>
  <c r="G74" i="4"/>
  <c r="M74" i="4" s="1"/>
  <c r="G47" i="4"/>
  <c r="M47" i="4" s="1"/>
  <c r="G34" i="4"/>
  <c r="M34" i="4" s="1"/>
  <c r="G72" i="4"/>
  <c r="M72" i="4" s="1"/>
  <c r="G83" i="4"/>
  <c r="M83" i="4" s="1"/>
  <c r="G85" i="4"/>
  <c r="M85" i="4" s="1"/>
  <c r="G73" i="4"/>
  <c r="M73" i="4" s="1"/>
  <c r="G46" i="4"/>
  <c r="M46" i="4" s="1"/>
  <c r="G33" i="4"/>
  <c r="G45" i="4"/>
  <c r="M45" i="4" s="1"/>
  <c r="G69" i="4"/>
  <c r="M69" i="4" s="1"/>
  <c r="G68" i="4"/>
  <c r="M68" i="4" s="1"/>
  <c r="G21" i="4"/>
  <c r="M21" i="4" s="1"/>
  <c r="G22" i="1"/>
  <c r="G113" i="6"/>
  <c r="M113" i="6" s="1"/>
  <c r="G98" i="6"/>
  <c r="M98" i="6" s="1"/>
  <c r="G90" i="6"/>
  <c r="M90" i="6" s="1"/>
  <c r="O90" i="6" s="1"/>
  <c r="G69" i="6"/>
  <c r="M69" i="6" s="1"/>
  <c r="G46" i="6"/>
  <c r="G21" i="6"/>
  <c r="M21" i="6" s="1"/>
  <c r="G112" i="6"/>
  <c r="M112" i="6" s="1"/>
  <c r="G20" i="4"/>
  <c r="G14" i="4"/>
  <c r="M14" i="4" s="1"/>
  <c r="G15" i="1"/>
  <c r="G111" i="6"/>
  <c r="G96" i="6"/>
  <c r="M96" i="6" s="1"/>
  <c r="G83" i="6"/>
  <c r="M83" i="6" s="1"/>
  <c r="G63" i="6"/>
  <c r="M63" i="6" s="1"/>
  <c r="G35" i="6"/>
  <c r="M35" i="6" s="1"/>
  <c r="M36" i="6" s="1"/>
  <c r="G15" i="6"/>
  <c r="M15" i="6" s="1"/>
  <c r="G40" i="1"/>
  <c r="G101" i="6"/>
  <c r="M101" i="6" s="1"/>
  <c r="G80" i="6"/>
  <c r="G28" i="6"/>
  <c r="M28" i="6" s="1"/>
  <c r="G13" i="4"/>
  <c r="G9" i="1"/>
  <c r="G103" i="6"/>
  <c r="M103" i="6" s="1"/>
  <c r="G95" i="6"/>
  <c r="M95" i="6" s="1"/>
  <c r="G82" i="6"/>
  <c r="M82" i="6" s="1"/>
  <c r="G62" i="6"/>
  <c r="G30" i="6"/>
  <c r="M30" i="6" s="1"/>
  <c r="G14" i="6"/>
  <c r="M14" i="6" s="1"/>
  <c r="G10" i="2"/>
  <c r="M10" i="2" s="1"/>
  <c r="G93" i="6"/>
  <c r="M93" i="6" s="1"/>
  <c r="O93" i="6" s="1"/>
  <c r="G54" i="6"/>
  <c r="M54" i="6" s="1"/>
  <c r="G8" i="6"/>
  <c r="M8" i="6" s="1"/>
  <c r="G68" i="6"/>
  <c r="G7" i="4"/>
  <c r="G8" i="1"/>
  <c r="G102" i="6"/>
  <c r="M102" i="6" s="1"/>
  <c r="G94" i="6"/>
  <c r="M94" i="6" s="1"/>
  <c r="O94" i="6" s="1"/>
  <c r="G81" i="6"/>
  <c r="M81" i="6" s="1"/>
  <c r="G57" i="6"/>
  <c r="M57" i="6" s="1"/>
  <c r="G29" i="6"/>
  <c r="M29" i="6" s="1"/>
  <c r="G13" i="6"/>
  <c r="G89" i="6"/>
  <c r="G9" i="2"/>
  <c r="G119" i="6"/>
  <c r="M119" i="6" s="1"/>
  <c r="O119" i="6" s="1"/>
  <c r="G100" i="6"/>
  <c r="M100" i="6" s="1"/>
  <c r="G92" i="6"/>
  <c r="M92" i="6" s="1"/>
  <c r="O92" i="6" s="1"/>
  <c r="G75" i="6"/>
  <c r="M75" i="6" s="1"/>
  <c r="G53" i="6"/>
  <c r="G27" i="6"/>
  <c r="G7" i="6"/>
  <c r="G97" i="6"/>
  <c r="M97" i="6" s="1"/>
  <c r="G20" i="6"/>
  <c r="G34" i="1"/>
  <c r="G118" i="6"/>
  <c r="G99" i="6"/>
  <c r="M99" i="6" s="1"/>
  <c r="G91" i="6"/>
  <c r="M91" i="6" s="1"/>
  <c r="G74" i="6"/>
  <c r="G47" i="6"/>
  <c r="M47" i="6" s="1"/>
  <c r="G22" i="6"/>
  <c r="M22" i="6" s="1"/>
  <c r="G16" i="1"/>
  <c r="M16" i="1" s="1"/>
  <c r="G40" i="6"/>
  <c r="L148" i="6"/>
  <c r="F148" i="6"/>
  <c r="E148" i="6"/>
  <c r="G93" i="7" l="1"/>
  <c r="M88" i="7"/>
  <c r="G95" i="4"/>
  <c r="G98" i="7"/>
  <c r="M9" i="7"/>
  <c r="M98" i="7" s="1"/>
  <c r="G18" i="7"/>
  <c r="M7" i="7"/>
  <c r="G64" i="7"/>
  <c r="M62" i="7"/>
  <c r="M64" i="7" s="1"/>
  <c r="G61" i="5"/>
  <c r="M59" i="5"/>
  <c r="M61" i="5" s="1"/>
  <c r="G69" i="5"/>
  <c r="M66" i="5"/>
  <c r="M69" i="5" s="1"/>
  <c r="G85" i="7"/>
  <c r="M83" i="7"/>
  <c r="M85" i="7" s="1"/>
  <c r="G40" i="7"/>
  <c r="M39" i="7"/>
  <c r="M40" i="7" s="1"/>
  <c r="G58" i="7"/>
  <c r="G99" i="7" s="1"/>
  <c r="M56" i="7"/>
  <c r="M58" i="7" s="1"/>
  <c r="G82" i="5"/>
  <c r="M80" i="5"/>
  <c r="M82" i="5" s="1"/>
  <c r="G94" i="5"/>
  <c r="M86" i="5"/>
  <c r="M94" i="5" s="1"/>
  <c r="G76" i="5"/>
  <c r="M73" i="5"/>
  <c r="M76" i="5" s="1"/>
  <c r="G25" i="7"/>
  <c r="M22" i="7"/>
  <c r="M25" i="7" s="1"/>
  <c r="G54" i="5"/>
  <c r="M52" i="5"/>
  <c r="M54" i="5" s="1"/>
  <c r="G35" i="7"/>
  <c r="M34" i="7"/>
  <c r="M35" i="7" s="1"/>
  <c r="G11" i="3"/>
  <c r="M8" i="3"/>
  <c r="M11" i="3" s="1"/>
  <c r="G45" i="7"/>
  <c r="M44" i="7"/>
  <c r="M45" i="7" s="1"/>
  <c r="G16" i="3"/>
  <c r="M15" i="3"/>
  <c r="M16" i="3" s="1"/>
  <c r="G131" i="6"/>
  <c r="M130" i="6"/>
  <c r="M131" i="6" s="1"/>
  <c r="G24" i="5"/>
  <c r="M13" i="5"/>
  <c r="M24" i="5" s="1"/>
  <c r="G48" i="5"/>
  <c r="M29" i="5"/>
  <c r="M48" i="5" s="1"/>
  <c r="G9" i="5"/>
  <c r="M7" i="5"/>
  <c r="M9" i="5" s="1"/>
  <c r="M57" i="4"/>
  <c r="M59" i="4" s="1"/>
  <c r="M61" i="4" s="1"/>
  <c r="G59" i="4"/>
  <c r="G61" i="4" s="1"/>
  <c r="G29" i="4"/>
  <c r="M27" i="4"/>
  <c r="M29" i="4" s="1"/>
  <c r="G40" i="4"/>
  <c r="M33" i="4"/>
  <c r="M40" i="4" s="1"/>
  <c r="M91" i="4"/>
  <c r="M95" i="4" s="1"/>
  <c r="G76" i="4"/>
  <c r="M66" i="4"/>
  <c r="M76" i="4" s="1"/>
  <c r="G49" i="4"/>
  <c r="M44" i="4"/>
  <c r="M49" i="4" s="1"/>
  <c r="G87" i="4"/>
  <c r="M80" i="4"/>
  <c r="M87" i="4" s="1"/>
  <c r="G101" i="4"/>
  <c r="M99" i="4"/>
  <c r="M101" i="4" s="1"/>
  <c r="G36" i="1"/>
  <c r="M34" i="1"/>
  <c r="M36" i="1" s="1"/>
  <c r="G16" i="4"/>
  <c r="M13" i="4"/>
  <c r="M16" i="4" s="1"/>
  <c r="M9" i="2"/>
  <c r="M12" i="2" s="1"/>
  <c r="G12" i="2"/>
  <c r="G11" i="1"/>
  <c r="M8" i="1"/>
  <c r="M40" i="1" s="1"/>
  <c r="G84" i="6"/>
  <c r="M80" i="6"/>
  <c r="M84" i="6" s="1"/>
  <c r="G114" i="6"/>
  <c r="M111" i="6"/>
  <c r="M114" i="6" s="1"/>
  <c r="G104" i="6"/>
  <c r="M89" i="6"/>
  <c r="M104" i="6" s="1"/>
  <c r="M7" i="4"/>
  <c r="M9" i="4" s="1"/>
  <c r="G9" i="4"/>
  <c r="G18" i="1"/>
  <c r="M15" i="1"/>
  <c r="M18" i="1" s="1"/>
  <c r="G41" i="1"/>
  <c r="M9" i="1"/>
  <c r="G76" i="6"/>
  <c r="M74" i="6"/>
  <c r="M76" i="6" s="1"/>
  <c r="G23" i="4"/>
  <c r="M20" i="4"/>
  <c r="M23" i="4" s="1"/>
  <c r="G24" i="1"/>
  <c r="G42" i="1" s="1"/>
  <c r="M22" i="1"/>
  <c r="M24" i="1" s="1"/>
  <c r="G124" i="6"/>
  <c r="M118" i="6"/>
  <c r="G23" i="6"/>
  <c r="M20" i="6"/>
  <c r="M23" i="6" s="1"/>
  <c r="G9" i="6"/>
  <c r="M7" i="6"/>
  <c r="M9" i="6" s="1"/>
  <c r="G64" i="6"/>
  <c r="M62" i="6"/>
  <c r="M64" i="6" s="1"/>
  <c r="G58" i="6"/>
  <c r="M53" i="6"/>
  <c r="M58" i="6" s="1"/>
  <c r="M40" i="6"/>
  <c r="M41" i="6" s="1"/>
  <c r="G41" i="6"/>
  <c r="G70" i="6"/>
  <c r="M68" i="6"/>
  <c r="M70" i="6" s="1"/>
  <c r="G48" i="6"/>
  <c r="M46" i="6"/>
  <c r="M48" i="6" s="1"/>
  <c r="G16" i="6"/>
  <c r="M13" i="6"/>
  <c r="M16" i="6" s="1"/>
  <c r="G31" i="6"/>
  <c r="M27" i="6"/>
  <c r="M31" i="6" s="1"/>
  <c r="M107" i="5" l="1"/>
  <c r="G107" i="5"/>
  <c r="G110" i="5" s="1"/>
  <c r="G144" i="6" s="1"/>
  <c r="M144" i="6" s="1"/>
  <c r="G97" i="7"/>
  <c r="G96" i="7" s="1"/>
  <c r="G102" i="7" s="1"/>
  <c r="G146" i="6" s="1"/>
  <c r="M146" i="6" s="1"/>
  <c r="O88" i="7"/>
  <c r="O93" i="7" s="1"/>
  <c r="M93" i="7"/>
  <c r="M97" i="7" s="1"/>
  <c r="M42" i="1"/>
  <c r="M18" i="7"/>
  <c r="M133" i="6"/>
  <c r="M99" i="7"/>
  <c r="M19" i="3"/>
  <c r="M22" i="3"/>
  <c r="G19" i="3"/>
  <c r="G141" i="6" s="1"/>
  <c r="M141" i="6" s="1"/>
  <c r="G22" i="3"/>
  <c r="M103" i="4"/>
  <c r="G103" i="4"/>
  <c r="M41" i="1"/>
  <c r="G45" i="1"/>
  <c r="G16" i="2"/>
  <c r="G18" i="2"/>
  <c r="O118" i="6"/>
  <c r="M124" i="6"/>
  <c r="M126" i="6" s="1"/>
  <c r="M108" i="4"/>
  <c r="M51" i="4"/>
  <c r="G43" i="1"/>
  <c r="G139" i="6" s="1"/>
  <c r="M139" i="6" s="1"/>
  <c r="M18" i="2"/>
  <c r="M16" i="2"/>
  <c r="M15" i="2" s="1"/>
  <c r="G108" i="4"/>
  <c r="G142" i="6" s="1"/>
  <c r="M142" i="6" s="1"/>
  <c r="G51" i="4"/>
  <c r="M11" i="1"/>
  <c r="M45" i="1" s="1"/>
  <c r="G133" i="6"/>
  <c r="G153" i="6"/>
  <c r="G145" i="6" s="1"/>
  <c r="G126" i="6"/>
  <c r="Q93" i="7" l="1"/>
  <c r="M43" i="1"/>
  <c r="M96" i="7"/>
  <c r="M102" i="7" s="1"/>
  <c r="M105" i="4"/>
  <c r="M135" i="6"/>
  <c r="G105" i="4"/>
  <c r="G135" i="6"/>
  <c r="G154" i="6" s="1"/>
  <c r="G15" i="2"/>
  <c r="G140" i="6"/>
  <c r="M140" i="6" s="1"/>
  <c r="M145" i="6"/>
  <c r="G148" i="6" l="1"/>
  <c r="M148" i="6"/>
  <c r="M154" i="6" s="1"/>
  <c r="A8" i="9" l="1"/>
  <c r="M159" i="6"/>
  <c r="M151" i="6"/>
  <c r="N98" i="5" l="1"/>
  <c r="O98" i="5" s="1"/>
  <c r="N100" i="5"/>
  <c r="N103" i="5"/>
  <c r="O103" i="5" s="1"/>
  <c r="N105" i="5"/>
  <c r="O105" i="5" s="1"/>
  <c r="Q105" i="5" s="1"/>
  <c r="N46" i="5"/>
  <c r="O46" i="5" s="1"/>
  <c r="N94" i="4"/>
  <c r="O94" i="4" s="1"/>
  <c r="N85" i="4"/>
  <c r="O85" i="4" s="1"/>
  <c r="N81" i="4"/>
  <c r="O81" i="4" s="1"/>
  <c r="N38" i="4"/>
  <c r="O38" i="4" s="1"/>
  <c r="N73" i="4"/>
  <c r="O73" i="4" s="1"/>
  <c r="N80" i="4"/>
  <c r="O80" i="4" s="1"/>
  <c r="N40" i="5"/>
  <c r="O40" i="5" s="1"/>
  <c r="N20" i="5"/>
  <c r="O20" i="5" s="1"/>
  <c r="N59" i="5"/>
  <c r="O59" i="5" s="1"/>
  <c r="N99" i="6"/>
  <c r="O99" i="6" s="1"/>
  <c r="N45" i="5"/>
  <c r="O45" i="5" s="1"/>
  <c r="N18" i="5"/>
  <c r="O18" i="5" s="1"/>
  <c r="N34" i="4"/>
  <c r="O34" i="4" s="1"/>
  <c r="N35" i="7"/>
  <c r="O35" i="7" s="1"/>
  <c r="Q35" i="7" s="1"/>
  <c r="F63" i="8" s="1"/>
  <c r="F67" i="8" s="1"/>
  <c r="N91" i="6"/>
  <c r="O91" i="6" s="1"/>
  <c r="N15" i="6"/>
  <c r="O15" i="6" s="1"/>
  <c r="N101" i="4"/>
  <c r="O101" i="4" s="1"/>
  <c r="Q101" i="4" s="1"/>
  <c r="I33" i="8" s="1"/>
  <c r="I35" i="8" s="1"/>
  <c r="I41" i="8" s="1"/>
  <c r="N43" i="5"/>
  <c r="O43" i="5" s="1"/>
  <c r="N14" i="5"/>
  <c r="O14" i="5" s="1"/>
  <c r="N9" i="2"/>
  <c r="O9" i="2" s="1"/>
  <c r="N101" i="6"/>
  <c r="O101" i="6" s="1"/>
  <c r="N33" i="4"/>
  <c r="O33" i="4" s="1"/>
  <c r="N22" i="1"/>
  <c r="N24" i="1" s="1"/>
  <c r="N8" i="1"/>
  <c r="O8" i="1" s="1"/>
  <c r="N37" i="5"/>
  <c r="O37" i="5" s="1"/>
  <c r="N87" i="5"/>
  <c r="O87" i="5" s="1"/>
  <c r="N47" i="5"/>
  <c r="O47" i="5" s="1"/>
  <c r="N35" i="4"/>
  <c r="O35" i="4" s="1"/>
  <c r="N7" i="5"/>
  <c r="O7" i="5" s="1"/>
  <c r="N34" i="1"/>
  <c r="N36" i="1" s="1"/>
  <c r="O36" i="1" s="1"/>
  <c r="Q36" i="1" s="1"/>
  <c r="G4" i="8" s="1"/>
  <c r="G12" i="8" s="1"/>
  <c r="G6" i="8" s="1"/>
  <c r="N80" i="5"/>
  <c r="O80" i="5" s="1"/>
  <c r="N8" i="3"/>
  <c r="O8" i="3" s="1"/>
  <c r="N88" i="5"/>
  <c r="O88" i="5" s="1"/>
  <c r="N93" i="4"/>
  <c r="O93" i="4" s="1"/>
  <c r="N20" i="4"/>
  <c r="O20" i="4" s="1"/>
  <c r="N68" i="4"/>
  <c r="O68" i="4" s="1"/>
  <c r="N67" i="5"/>
  <c r="O67" i="5" s="1"/>
  <c r="N11" i="3"/>
  <c r="O11" i="3" s="1"/>
  <c r="N9" i="3"/>
  <c r="O9" i="3" s="1"/>
  <c r="N29" i="5"/>
  <c r="O29" i="5" s="1"/>
  <c r="N66" i="5"/>
  <c r="O66" i="5" s="1"/>
  <c r="N62" i="6"/>
  <c r="N14" i="7"/>
  <c r="O14" i="7" s="1"/>
  <c r="N7" i="6"/>
  <c r="O7" i="6" s="1"/>
  <c r="N103" i="6"/>
  <c r="O103" i="6" s="1"/>
  <c r="N22" i="5"/>
  <c r="O22" i="5" s="1"/>
  <c r="N102" i="6"/>
  <c r="O102" i="6" s="1"/>
  <c r="N83" i="6"/>
  <c r="O83" i="6" s="1"/>
  <c r="N77" i="7"/>
  <c r="O77" i="7" s="1"/>
  <c r="N29" i="7"/>
  <c r="O29" i="7" s="1"/>
  <c r="N37" i="4"/>
  <c r="O37" i="4" s="1"/>
  <c r="N8" i="6"/>
  <c r="O8" i="6" s="1"/>
  <c r="N84" i="4"/>
  <c r="O84" i="4" s="1"/>
  <c r="N96" i="6"/>
  <c r="O96" i="6" s="1"/>
  <c r="N68" i="6"/>
  <c r="O68" i="6" s="1"/>
  <c r="N39" i="5"/>
  <c r="O39" i="5" s="1"/>
  <c r="N119" i="6"/>
  <c r="N13" i="4"/>
  <c r="N16" i="4" s="1"/>
  <c r="O16" i="4" s="1"/>
  <c r="Q16" i="4" s="1"/>
  <c r="D27" i="8" s="1"/>
  <c r="D29" i="8" s="1"/>
  <c r="N40" i="4"/>
  <c r="O40" i="4" s="1"/>
  <c r="Q40" i="4" s="1"/>
  <c r="G27" i="8" s="1"/>
  <c r="G29" i="8" s="1"/>
  <c r="N13" i="5"/>
  <c r="O13" i="5" s="1"/>
  <c r="N21" i="4"/>
  <c r="O21" i="4" s="1"/>
  <c r="N59" i="4"/>
  <c r="O59" i="4" s="1"/>
  <c r="O61" i="4" s="1"/>
  <c r="N15" i="5"/>
  <c r="O15" i="5" s="1"/>
  <c r="N111" i="6"/>
  <c r="O111" i="6" s="1"/>
  <c r="N91" i="5"/>
  <c r="O91" i="5" s="1"/>
  <c r="N83" i="4"/>
  <c r="O83" i="4" s="1"/>
  <c r="N34" i="5"/>
  <c r="O34" i="5" s="1"/>
  <c r="N14" i="6"/>
  <c r="O14" i="6" s="1"/>
  <c r="N44" i="4"/>
  <c r="O44" i="4" s="1"/>
  <c r="N66" i="4"/>
  <c r="O66" i="4" s="1"/>
  <c r="N74" i="6"/>
  <c r="O74" i="6" s="1"/>
  <c r="N32" i="5"/>
  <c r="O32" i="5" s="1"/>
  <c r="N70" i="6"/>
  <c r="O70" i="6" s="1"/>
  <c r="Q70" i="6" s="1"/>
  <c r="K53" i="8" s="1"/>
  <c r="K55" i="8" s="1"/>
  <c r="N13" i="6"/>
  <c r="O13" i="6" s="1"/>
  <c r="N48" i="5"/>
  <c r="O48" i="5" s="1"/>
  <c r="Q48" i="5" s="1"/>
  <c r="E44" i="8" s="1"/>
  <c r="E46" i="8" s="1"/>
  <c r="E50" i="8" s="1"/>
  <c r="N53" i="6"/>
  <c r="O53" i="6" s="1"/>
  <c r="N122" i="6"/>
  <c r="N83" i="7"/>
  <c r="O83" i="7" s="1"/>
  <c r="N61" i="5"/>
  <c r="O61" i="5" s="1"/>
  <c r="Q61" i="5" s="1"/>
  <c r="G44" i="8" s="1"/>
  <c r="G46" i="8" s="1"/>
  <c r="G48" i="8" s="1"/>
  <c r="N22" i="7"/>
  <c r="O22" i="7" s="1"/>
  <c r="N82" i="4"/>
  <c r="O82" i="4" s="1"/>
  <c r="N47" i="4"/>
  <c r="O47" i="4" s="1"/>
  <c r="N57" i="6"/>
  <c r="O57" i="6" s="1"/>
  <c r="Q57" i="6" s="1"/>
  <c r="R57" i="6" s="1"/>
  <c r="S57" i="6" s="1"/>
  <c r="N28" i="6"/>
  <c r="O28" i="6" s="1"/>
  <c r="N69" i="5"/>
  <c r="O69" i="5" s="1"/>
  <c r="Q69" i="5" s="1"/>
  <c r="I44" i="8" s="1"/>
  <c r="I46" i="8" s="1"/>
  <c r="I50" i="8" s="1"/>
  <c r="N58" i="7"/>
  <c r="O58" i="7" s="1"/>
  <c r="Q58" i="7" s="1"/>
  <c r="J63" i="8" s="1"/>
  <c r="J71" i="8" s="1"/>
  <c r="N40" i="7"/>
  <c r="O40" i="7" s="1"/>
  <c r="Q40" i="7" s="1"/>
  <c r="G63" i="8" s="1"/>
  <c r="G71" i="8" s="1"/>
  <c r="N16" i="5"/>
  <c r="O16" i="5" s="1"/>
  <c r="N29" i="4"/>
  <c r="O29" i="4" s="1"/>
  <c r="Q29" i="4" s="1"/>
  <c r="F27" i="8" s="1"/>
  <c r="F29" i="8" s="1"/>
  <c r="N121" i="6"/>
  <c r="N25" i="7"/>
  <c r="O25" i="7" s="1"/>
  <c r="Q25" i="7" s="1"/>
  <c r="D63" i="8" s="1"/>
  <c r="D69" i="8" s="1"/>
  <c r="N21" i="5"/>
  <c r="O21" i="5" s="1"/>
  <c r="N15" i="7"/>
  <c r="O15" i="7" s="1"/>
  <c r="N95" i="6"/>
  <c r="O95" i="6" s="1"/>
  <c r="N49" i="4"/>
  <c r="O49" i="4" s="1"/>
  <c r="N112" i="6"/>
  <c r="O112" i="6" s="1"/>
  <c r="N45" i="4"/>
  <c r="O45" i="4" s="1"/>
  <c r="N10" i="2"/>
  <c r="O10" i="2" s="1"/>
  <c r="N107" i="6"/>
  <c r="O107" i="6" s="1"/>
  <c r="N74" i="4"/>
  <c r="O74" i="4" s="1"/>
  <c r="N50" i="7"/>
  <c r="O50" i="7" s="1"/>
  <c r="N45" i="7"/>
  <c r="O45" i="7" s="1"/>
  <c r="Q45" i="7" s="1"/>
  <c r="H63" i="8" s="1"/>
  <c r="H69" i="8" s="1"/>
  <c r="N99" i="4"/>
  <c r="O99" i="4" s="1"/>
  <c r="N15" i="1"/>
  <c r="O15" i="1" s="1"/>
  <c r="N12" i="7"/>
  <c r="O12" i="7" s="1"/>
  <c r="N35" i="5"/>
  <c r="O35" i="5" s="1"/>
  <c r="N82" i="6"/>
  <c r="O82" i="6" s="1"/>
  <c r="N76" i="4"/>
  <c r="O76" i="4" s="1"/>
  <c r="Q76" i="4" s="1"/>
  <c r="C33" i="8" s="1"/>
  <c r="C35" i="8" s="1"/>
  <c r="C39" i="8" s="1"/>
  <c r="N82" i="5"/>
  <c r="O82" i="5" s="1"/>
  <c r="Q82" i="5" s="1"/>
  <c r="L44" i="8" s="1"/>
  <c r="L46" i="8" s="1"/>
  <c r="L48" i="8" s="1"/>
  <c r="N36" i="4"/>
  <c r="O36" i="4" s="1"/>
  <c r="N44" i="7"/>
  <c r="O44" i="7" s="1"/>
  <c r="N56" i="7"/>
  <c r="O56" i="7" s="1"/>
  <c r="N92" i="4"/>
  <c r="O92" i="4" s="1"/>
  <c r="N41" i="5"/>
  <c r="O41" i="5" s="1"/>
  <c r="N75" i="4"/>
  <c r="O75" i="4" s="1"/>
  <c r="N34" i="7"/>
  <c r="O34" i="7" s="1"/>
  <c r="N36" i="5"/>
  <c r="O36" i="5" s="1"/>
  <c r="N30" i="5"/>
  <c r="O30" i="5" s="1"/>
  <c r="N27" i="6"/>
  <c r="O27" i="6" s="1"/>
  <c r="N67" i="4"/>
  <c r="O67" i="4" s="1"/>
  <c r="N97" i="6"/>
  <c r="O97" i="6" s="1"/>
  <c r="N72" i="4"/>
  <c r="O72" i="4" s="1"/>
  <c r="N69" i="6"/>
  <c r="O69" i="6" s="1"/>
  <c r="N86" i="5"/>
  <c r="O86" i="5" s="1"/>
  <c r="N104" i="6"/>
  <c r="O104" i="6" s="1"/>
  <c r="Q104" i="6" s="1"/>
  <c r="N53" i="8" s="1"/>
  <c r="N55" i="8" s="1"/>
  <c r="N80" i="6"/>
  <c r="O80" i="6" s="1"/>
  <c r="N74" i="5"/>
  <c r="O74" i="5" s="1"/>
  <c r="N40" i="6"/>
  <c r="O40" i="6" s="1"/>
  <c r="N89" i="6"/>
  <c r="O89" i="6" s="1"/>
  <c r="N98" i="6"/>
  <c r="O98" i="6" s="1"/>
  <c r="N91" i="4"/>
  <c r="N94" i="6"/>
  <c r="N47" i="6"/>
  <c r="O47" i="6" s="1"/>
  <c r="N27" i="4"/>
  <c r="O27" i="4" s="1"/>
  <c r="N131" i="6"/>
  <c r="O131" i="6" s="1"/>
  <c r="Q131" i="6" s="1"/>
  <c r="C58" i="8" s="1"/>
  <c r="C60" i="8" s="1"/>
  <c r="N73" i="5"/>
  <c r="O73" i="5" s="1"/>
  <c r="N36" i="6"/>
  <c r="O36" i="6" s="1"/>
  <c r="Q36" i="6" s="1"/>
  <c r="F53" i="8" s="1"/>
  <c r="F55" i="8" s="1"/>
  <c r="N24" i="7"/>
  <c r="O24" i="7" s="1"/>
  <c r="N19" i="5"/>
  <c r="O19" i="5" s="1"/>
  <c r="N113" i="6"/>
  <c r="O113" i="6" s="1"/>
  <c r="N52" i="5"/>
  <c r="O52" i="5" s="1"/>
  <c r="N38" i="5"/>
  <c r="O38" i="5" s="1"/>
  <c r="N124" i="6"/>
  <c r="O124" i="6" s="1"/>
  <c r="N22" i="6"/>
  <c r="O22" i="6" s="1"/>
  <c r="N63" i="6"/>
  <c r="O63" i="6" s="1"/>
  <c r="N31" i="5"/>
  <c r="O31" i="5" s="1"/>
  <c r="N23" i="7"/>
  <c r="O23" i="7" s="1"/>
  <c r="N62" i="7"/>
  <c r="O62" i="7" s="1"/>
  <c r="N9" i="7"/>
  <c r="O9" i="7" s="1"/>
  <c r="N24" i="5"/>
  <c r="O24" i="5" s="1"/>
  <c r="Q24" i="5" s="1"/>
  <c r="D44" i="8" s="1"/>
  <c r="D46" i="8" s="1"/>
  <c r="D48" i="8" s="1"/>
  <c r="N57" i="4"/>
  <c r="O57" i="4" s="1"/>
  <c r="N7" i="7"/>
  <c r="N17" i="5"/>
  <c r="O17" i="5" s="1"/>
  <c r="N8" i="7"/>
  <c r="O8" i="7" s="1"/>
  <c r="N54" i="6"/>
  <c r="O54" i="6" s="1"/>
  <c r="N76" i="6"/>
  <c r="O76" i="6" s="1"/>
  <c r="Q76" i="6" s="1"/>
  <c r="L53" i="8" s="1"/>
  <c r="L55" i="8" s="1"/>
  <c r="N20" i="6"/>
  <c r="O20" i="6" s="1"/>
  <c r="N92" i="5"/>
  <c r="O92" i="5" s="1"/>
  <c r="N10" i="3"/>
  <c r="O10" i="3" s="1"/>
  <c r="N15" i="3"/>
  <c r="O15" i="3" s="1"/>
  <c r="N13" i="7"/>
  <c r="O13" i="7" s="1"/>
  <c r="N92" i="6"/>
  <c r="N7" i="4"/>
  <c r="O7" i="4" s="1"/>
  <c r="N79" i="7"/>
  <c r="O79" i="7" s="1"/>
  <c r="Q79" i="7" s="1"/>
  <c r="L63" i="8" s="1"/>
  <c r="L69" i="8" s="1"/>
  <c r="N29" i="6"/>
  <c r="O29" i="6" s="1"/>
  <c r="N118" i="6"/>
  <c r="N23" i="4"/>
  <c r="O23" i="4" s="1"/>
  <c r="Q23" i="4" s="1"/>
  <c r="E27" i="8" s="1"/>
  <c r="E29" i="8" s="1"/>
  <c r="N41" i="6"/>
  <c r="O41" i="6" s="1"/>
  <c r="Q41" i="6" s="1"/>
  <c r="G53" i="8" s="1"/>
  <c r="G55" i="8" s="1"/>
  <c r="N21" i="6"/>
  <c r="O21" i="6" s="1"/>
  <c r="N12" i="2"/>
  <c r="N18" i="2" s="1"/>
  <c r="N52" i="7"/>
  <c r="O52" i="7" s="1"/>
  <c r="Q52" i="7" s="1"/>
  <c r="I63" i="8" s="1"/>
  <c r="I69" i="8" s="1"/>
  <c r="N33" i="5"/>
  <c r="O33" i="5" s="1"/>
  <c r="N9" i="5"/>
  <c r="N75" i="6"/>
  <c r="O75" i="6" s="1"/>
  <c r="N85" i="7"/>
  <c r="O85" i="7" s="1"/>
  <c r="Q85" i="7" s="1"/>
  <c r="M63" i="8" s="1"/>
  <c r="M67" i="8" s="1"/>
  <c r="N30" i="7"/>
  <c r="O30" i="7" s="1"/>
  <c r="Q30" i="7" s="1"/>
  <c r="E63" i="8" s="1"/>
  <c r="E69" i="8" s="1"/>
  <c r="N16" i="1"/>
  <c r="O16" i="1" s="1"/>
  <c r="N16" i="7"/>
  <c r="O16" i="7" s="1"/>
  <c r="N30" i="6"/>
  <c r="O30" i="6" s="1"/>
  <c r="N54" i="5"/>
  <c r="O54" i="5" s="1"/>
  <c r="Q54" i="5" s="1"/>
  <c r="F44" i="8" s="1"/>
  <c r="F46" i="8" s="1"/>
  <c r="F50" i="8" s="1"/>
  <c r="N90" i="6"/>
  <c r="N39" i="7"/>
  <c r="O39" i="7" s="1"/>
  <c r="N46" i="4"/>
  <c r="O46" i="4" s="1"/>
  <c r="N44" i="5"/>
  <c r="O44" i="5" s="1"/>
  <c r="N9" i="1"/>
  <c r="O9" i="1" s="1"/>
  <c r="N69" i="4"/>
  <c r="O69" i="4" s="1"/>
  <c r="N89" i="5"/>
  <c r="O89" i="5" s="1"/>
  <c r="N100" i="6"/>
  <c r="O100" i="6" s="1"/>
  <c r="N123" i="6"/>
  <c r="N130" i="6"/>
  <c r="O130" i="6" s="1"/>
  <c r="N76" i="5"/>
  <c r="O76" i="5" s="1"/>
  <c r="Q76" i="5" s="1"/>
  <c r="J44" i="8" s="1"/>
  <c r="J46" i="8" s="1"/>
  <c r="J48" i="8" s="1"/>
  <c r="N10" i="7"/>
  <c r="O10" i="7" s="1"/>
  <c r="N90" i="5"/>
  <c r="O90" i="5" s="1"/>
  <c r="N46" i="6"/>
  <c r="O46" i="6" s="1"/>
  <c r="N94" i="5"/>
  <c r="O94" i="5" s="1"/>
  <c r="N16" i="3"/>
  <c r="O16" i="3" s="1"/>
  <c r="Q16" i="3" s="1"/>
  <c r="D20" i="8" s="1"/>
  <c r="D22" i="8" s="1"/>
  <c r="N18" i="7"/>
  <c r="O18" i="7" s="1"/>
  <c r="N93" i="6"/>
  <c r="N87" i="4"/>
  <c r="O87" i="4" s="1"/>
  <c r="Q87" i="4" s="1"/>
  <c r="E33" i="8" s="1"/>
  <c r="E35" i="8" s="1"/>
  <c r="E37" i="8" s="1"/>
  <c r="N28" i="1"/>
  <c r="N30" i="1" s="1"/>
  <c r="O30" i="1" s="1"/>
  <c r="Q30" i="1" s="1"/>
  <c r="F4" i="8" s="1"/>
  <c r="F8" i="8" s="1"/>
  <c r="N35" i="6"/>
  <c r="O35" i="6" s="1"/>
  <c r="N81" i="6"/>
  <c r="O81" i="6" s="1"/>
  <c r="N42" i="5"/>
  <c r="O42" i="5" s="1"/>
  <c r="N11" i="7"/>
  <c r="O11" i="7" s="1"/>
  <c r="N64" i="7"/>
  <c r="O64" i="7" s="1"/>
  <c r="Q64" i="7" s="1"/>
  <c r="K63" i="8" s="1"/>
  <c r="K67" i="8" s="1"/>
  <c r="N14" i="4"/>
  <c r="O14" i="4" s="1"/>
  <c r="N107" i="5" l="1"/>
  <c r="O9" i="5"/>
  <c r="Q9" i="5" s="1"/>
  <c r="C44" i="8" s="1"/>
  <c r="C46" i="8" s="1"/>
  <c r="O100" i="5"/>
  <c r="Q100" i="5" s="1"/>
  <c r="M110" i="5"/>
  <c r="I39" i="8"/>
  <c r="O7" i="7"/>
  <c r="O97" i="7" s="1"/>
  <c r="N97" i="7"/>
  <c r="F71" i="8"/>
  <c r="O91" i="4"/>
  <c r="O95" i="4" s="1"/>
  <c r="O103" i="4" s="1"/>
  <c r="B35" i="8" s="1"/>
  <c r="N95" i="4"/>
  <c r="N103" i="4" s="1"/>
  <c r="O22" i="1"/>
  <c r="I37" i="8"/>
  <c r="F69" i="8"/>
  <c r="G50" i="8"/>
  <c r="G69" i="8"/>
  <c r="G65" i="8" s="1"/>
  <c r="N64" i="6"/>
  <c r="O62" i="6"/>
  <c r="O64" i="6" s="1"/>
  <c r="Q64" i="6" s="1"/>
  <c r="J53" i="8" s="1"/>
  <c r="J55" i="8" s="1"/>
  <c r="H67" i="8"/>
  <c r="D50" i="8"/>
  <c r="N61" i="4"/>
  <c r="O34" i="1"/>
  <c r="J69" i="8"/>
  <c r="J65" i="8" s="1"/>
  <c r="O13" i="4"/>
  <c r="H71" i="8"/>
  <c r="O9" i="6"/>
  <c r="Q9" i="6" s="1"/>
  <c r="L50" i="8"/>
  <c r="O16" i="6"/>
  <c r="Q16" i="6" s="1"/>
  <c r="C53" i="8" s="1"/>
  <c r="C55" i="8" s="1"/>
  <c r="C37" i="8"/>
  <c r="I48" i="8"/>
  <c r="N9" i="6"/>
  <c r="N133" i="6" s="1"/>
  <c r="D71" i="8"/>
  <c r="D67" i="8"/>
  <c r="N16" i="6"/>
  <c r="N114" i="6"/>
  <c r="E48" i="8"/>
  <c r="O48" i="6"/>
  <c r="Q48" i="6" s="1"/>
  <c r="H53" i="8" s="1"/>
  <c r="H55" i="8" s="1"/>
  <c r="C41" i="8"/>
  <c r="O114" i="6"/>
  <c r="Q114" i="6" s="1"/>
  <c r="O53" i="8" s="1"/>
  <c r="O55" i="8" s="1"/>
  <c r="N58" i="6"/>
  <c r="N9" i="4"/>
  <c r="N48" i="6"/>
  <c r="D24" i="8"/>
  <c r="O22" i="3"/>
  <c r="O28" i="1"/>
  <c r="N22" i="3"/>
  <c r="O58" i="6"/>
  <c r="Q58" i="6" s="1"/>
  <c r="I53" i="8" s="1"/>
  <c r="I55" i="8" s="1"/>
  <c r="I71" i="8"/>
  <c r="I67" i="8"/>
  <c r="N16" i="2"/>
  <c r="N15" i="2" s="1"/>
  <c r="N140" i="6" s="1"/>
  <c r="O140" i="6" s="1"/>
  <c r="N84" i="6"/>
  <c r="O18" i="1"/>
  <c r="Q18" i="1" s="1"/>
  <c r="D4" i="8" s="1"/>
  <c r="D8" i="8" s="1"/>
  <c r="O31" i="6"/>
  <c r="Q31" i="6" s="1"/>
  <c r="E53" i="8" s="1"/>
  <c r="E55" i="8" s="1"/>
  <c r="N31" i="6"/>
  <c r="N40" i="1"/>
  <c r="N11" i="1"/>
  <c r="N99" i="7"/>
  <c r="J50" i="8"/>
  <c r="N18" i="1"/>
  <c r="M69" i="8"/>
  <c r="M71" i="8"/>
  <c r="E39" i="8"/>
  <c r="N41" i="1"/>
  <c r="O23" i="6"/>
  <c r="Q23" i="6" s="1"/>
  <c r="D53" i="8" s="1"/>
  <c r="D55" i="8" s="1"/>
  <c r="K69" i="8"/>
  <c r="N23" i="6"/>
  <c r="E41" i="8"/>
  <c r="K71" i="8"/>
  <c r="O99" i="7"/>
  <c r="O84" i="6"/>
  <c r="Q84" i="6" s="1"/>
  <c r="M53" i="8" s="1"/>
  <c r="M55" i="8" s="1"/>
  <c r="L67" i="8"/>
  <c r="E67" i="8"/>
  <c r="O12" i="2"/>
  <c r="O16" i="2" s="1"/>
  <c r="O15" i="2" s="1"/>
  <c r="N19" i="3"/>
  <c r="N141" i="6" s="1"/>
  <c r="O141" i="6" s="1"/>
  <c r="L71" i="8"/>
  <c r="F48" i="8"/>
  <c r="N98" i="7"/>
  <c r="E71" i="8"/>
  <c r="O98" i="7"/>
  <c r="F10" i="8"/>
  <c r="F12" i="8"/>
  <c r="F6" i="8" s="1"/>
  <c r="O24" i="1"/>
  <c r="N42" i="1"/>
  <c r="O11" i="1"/>
  <c r="O40" i="1"/>
  <c r="Q18" i="7"/>
  <c r="C63" i="8" s="1"/>
  <c r="O19" i="3"/>
  <c r="Q11" i="3"/>
  <c r="C20" i="8" s="1"/>
  <c r="O41" i="1"/>
  <c r="O107" i="5" l="1"/>
  <c r="O110" i="5" s="1"/>
  <c r="N110" i="5"/>
  <c r="N144" i="6"/>
  <c r="O144" i="6" s="1"/>
  <c r="N108" i="4"/>
  <c r="F65" i="8"/>
  <c r="O133" i="6"/>
  <c r="B60" i="8" s="1"/>
  <c r="O9" i="4"/>
  <c r="O51" i="4" s="1"/>
  <c r="Q95" i="4"/>
  <c r="H33" i="8" s="1"/>
  <c r="H35" i="8" s="1"/>
  <c r="H39" i="8" s="1"/>
  <c r="B39" i="8" s="1"/>
  <c r="D65" i="8"/>
  <c r="H65" i="8"/>
  <c r="N51" i="4"/>
  <c r="N105" i="4" s="1"/>
  <c r="N142" i="6" s="1"/>
  <c r="O142" i="6" s="1"/>
  <c r="N126" i="6"/>
  <c r="N135" i="6" s="1"/>
  <c r="O135" i="6" s="1"/>
  <c r="D10" i="8"/>
  <c r="D6" i="8" s="1"/>
  <c r="I65" i="8"/>
  <c r="N96" i="7"/>
  <c r="F58" i="8"/>
  <c r="F60" i="8" s="1"/>
  <c r="L65" i="8"/>
  <c r="N45" i="1"/>
  <c r="N139" i="6" s="1"/>
  <c r="O139" i="6" s="1"/>
  <c r="O126" i="6"/>
  <c r="B55" i="8" s="1"/>
  <c r="N43" i="1"/>
  <c r="E58" i="8"/>
  <c r="E60" i="8" s="1"/>
  <c r="K65" i="8"/>
  <c r="M65" i="8"/>
  <c r="O96" i="7"/>
  <c r="O102" i="7" s="1"/>
  <c r="E65" i="8"/>
  <c r="Q12" i="2"/>
  <c r="C15" i="8" s="1"/>
  <c r="C17" i="8" s="1"/>
  <c r="B17" i="8" s="1"/>
  <c r="O18" i="2"/>
  <c r="C69" i="8"/>
  <c r="B69" i="8" s="1"/>
  <c r="C71" i="8"/>
  <c r="B71" i="8" s="1"/>
  <c r="C67" i="8"/>
  <c r="Q133" i="6"/>
  <c r="D58" i="8"/>
  <c r="D60" i="8" s="1"/>
  <c r="C24" i="8"/>
  <c r="B24" i="8" s="1"/>
  <c r="C22" i="8"/>
  <c r="B22" i="8" s="1"/>
  <c r="Q11" i="1"/>
  <c r="O45" i="1"/>
  <c r="C48" i="8"/>
  <c r="B48" i="8" s="1"/>
  <c r="C50" i="8"/>
  <c r="B50" i="8" s="1"/>
  <c r="Q24" i="1"/>
  <c r="E4" i="8" s="1"/>
  <c r="O42" i="1"/>
  <c r="O43" i="1" s="1"/>
  <c r="S144" i="6" l="1"/>
  <c r="T144" i="6" s="1"/>
  <c r="Q9" i="4"/>
  <c r="C27" i="8" s="1"/>
  <c r="C29" i="8" s="1"/>
  <c r="B46" i="8"/>
  <c r="N146" i="6"/>
  <c r="O146" i="6" s="1"/>
  <c r="G74" i="8" s="1"/>
  <c r="N102" i="7"/>
  <c r="O108" i="4"/>
  <c r="H41" i="8"/>
  <c r="B41" i="8" s="1"/>
  <c r="H37" i="8"/>
  <c r="B37" i="8" s="1"/>
  <c r="N145" i="6"/>
  <c r="O145" i="6" s="1"/>
  <c r="I22" i="8"/>
  <c r="E12" i="8"/>
  <c r="E10" i="8"/>
  <c r="E8" i="8"/>
  <c r="T11" i="1"/>
  <c r="C4" i="8"/>
  <c r="B67" i="8"/>
  <c r="C65" i="8"/>
  <c r="B65" i="8" s="1"/>
  <c r="B74" i="8" s="1"/>
  <c r="O105" i="4"/>
  <c r="B29" i="8"/>
  <c r="D96" i="7"/>
  <c r="D102" i="7" l="1"/>
  <c r="D146" i="6" s="1"/>
  <c r="D148" i="6" s="1"/>
  <c r="O148" i="6"/>
  <c r="AB76" i="8" s="1"/>
  <c r="AB77" i="8" s="1"/>
  <c r="U151" i="6"/>
  <c r="V151" i="6" s="1"/>
  <c r="N148" i="6"/>
  <c r="O150" i="6" s="1"/>
  <c r="U150" i="6"/>
  <c r="V150" i="6" s="1"/>
  <c r="C10" i="8"/>
  <c r="B10" i="8" s="1"/>
  <c r="C8" i="8"/>
  <c r="B12" i="8"/>
  <c r="E6" i="8"/>
  <c r="F76" i="8" l="1"/>
  <c r="O152" i="6"/>
  <c r="B8" i="8"/>
  <c r="I12" i="8" s="1"/>
  <c r="C6" i="8"/>
  <c r="B6" i="8" s="1"/>
  <c r="B73" i="8" s="1"/>
  <c r="B76" i="8" s="1"/>
  <c r="O151" i="6" l="1"/>
  <c r="P151" i="6" s="1"/>
  <c r="C77" i="8"/>
  <c r="G76" i="8"/>
  <c r="V76" i="8"/>
  <c r="B77" i="8"/>
  <c r="B79" i="8" s="1"/>
  <c r="T79" i="8"/>
</calcChain>
</file>

<file path=xl/sharedStrings.xml><?xml version="1.0" encoding="utf-8"?>
<sst xmlns="http://schemas.openxmlformats.org/spreadsheetml/2006/main" count="3055" uniqueCount="1573">
  <si>
    <t>REG NO</t>
  </si>
  <si>
    <t>DESCRIPTION</t>
  </si>
  <si>
    <t>VOTE</t>
  </si>
  <si>
    <t>DISTANCE</t>
  </si>
  <si>
    <t>FUEL</t>
  </si>
  <si>
    <t>INSURANCE</t>
  </si>
  <si>
    <t>MATERIAL</t>
  </si>
  <si>
    <t>DEPRECIATION</t>
  </si>
  <si>
    <t>RENTAL</t>
  </si>
  <si>
    <t>LIC</t>
  </si>
  <si>
    <t>TAR/CODE</t>
  </si>
  <si>
    <t>TARIFF</t>
  </si>
  <si>
    <t>SUB TOTAL</t>
  </si>
  <si>
    <t>SUNDRY</t>
  </si>
  <si>
    <t>TOTAL</t>
  </si>
  <si>
    <t>TRAILERS</t>
  </si>
  <si>
    <t>TRAILER</t>
  </si>
  <si>
    <t>TRACTORS</t>
  </si>
  <si>
    <t>SUMMARY</t>
  </si>
  <si>
    <t>MM</t>
  </si>
  <si>
    <t>EEM</t>
  </si>
  <si>
    <t>CEM</t>
  </si>
  <si>
    <t>MDC</t>
  </si>
  <si>
    <t>GRANT TOTAL</t>
  </si>
  <si>
    <t>DLV 326 N</t>
  </si>
  <si>
    <t>JCB</t>
  </si>
  <si>
    <t>MACHINERY</t>
  </si>
  <si>
    <t>FORD TRACTOR</t>
  </si>
  <si>
    <t>RAMSOMES</t>
  </si>
  <si>
    <t>HERSOFAM</t>
  </si>
  <si>
    <t>CS</t>
  </si>
  <si>
    <t>COMPRESSOR</t>
  </si>
  <si>
    <t>TRUCKS H/VEH</t>
  </si>
  <si>
    <t>TRUCKS M/VEH</t>
  </si>
  <si>
    <t>STORES</t>
  </si>
  <si>
    <t>W/SHOP</t>
  </si>
  <si>
    <t>?</t>
  </si>
  <si>
    <t>LOWBED TRAILER</t>
  </si>
  <si>
    <t>TRAILORS</t>
  </si>
  <si>
    <t>063</t>
  </si>
  <si>
    <t>103</t>
  </si>
  <si>
    <t>105</t>
  </si>
  <si>
    <t>133/134/135</t>
  </si>
  <si>
    <t>MDC05</t>
  </si>
  <si>
    <t>037/066/1222</t>
  </si>
  <si>
    <t>105/066/1222</t>
  </si>
  <si>
    <t>134/066/1222</t>
  </si>
  <si>
    <t>135/066/1222</t>
  </si>
  <si>
    <t>133/066/1222</t>
  </si>
  <si>
    <t>173/066/1222</t>
  </si>
  <si>
    <t>183/066/1222</t>
  </si>
  <si>
    <t>total</t>
  </si>
  <si>
    <t>70%</t>
  </si>
  <si>
    <t>30%</t>
  </si>
  <si>
    <t>063/066/1222</t>
  </si>
  <si>
    <t>103/066/1222</t>
  </si>
  <si>
    <t>073/066/1222</t>
  </si>
  <si>
    <t>083/066/1222</t>
  </si>
  <si>
    <t>093/066/1222</t>
  </si>
  <si>
    <t>totaal</t>
  </si>
  <si>
    <t>TOTAL TZN</t>
  </si>
  <si>
    <t>TOTAL MDC</t>
  </si>
  <si>
    <t>GRAND TOTAL</t>
  </si>
  <si>
    <t>km/l</t>
  </si>
  <si>
    <t>BOMAG</t>
  </si>
  <si>
    <t>WINGET DUMPER</t>
  </si>
  <si>
    <t>TOYOTA DYNAPAC</t>
  </si>
  <si>
    <t>GALLION</t>
  </si>
  <si>
    <t>WRIGHT 120G</t>
  </si>
  <si>
    <t>ATLAS COPCO</t>
  </si>
  <si>
    <t>MASSEY FERGUSON</t>
  </si>
  <si>
    <t>WELDER TRAILER</t>
  </si>
  <si>
    <t>WORKSHOP</t>
  </si>
  <si>
    <t>COMMUNITY SERVICES</t>
  </si>
  <si>
    <t>037</t>
  </si>
  <si>
    <t>173/183</t>
  </si>
  <si>
    <t>073/083/093</t>
  </si>
  <si>
    <t>037/078/1325</t>
  </si>
  <si>
    <t>037/078/1327</t>
  </si>
  <si>
    <t>037/066/1219</t>
  </si>
  <si>
    <t>037/064/1091</t>
  </si>
  <si>
    <t>037/078/1335</t>
  </si>
  <si>
    <t>037/066/1220</t>
  </si>
  <si>
    <t>037/078/1331</t>
  </si>
  <si>
    <t>003/066/1222</t>
  </si>
  <si>
    <t>006/066/1222</t>
  </si>
  <si>
    <t>003</t>
  </si>
  <si>
    <t>006</t>
  </si>
  <si>
    <t>DLF 729 N [103]</t>
  </si>
  <si>
    <t>UD 80 NISSAN</t>
  </si>
  <si>
    <t>nissan ud 70</t>
  </si>
  <si>
    <t>FHX 724 N [073]</t>
  </si>
  <si>
    <t>073</t>
  </si>
  <si>
    <t>083</t>
  </si>
  <si>
    <t>093</t>
  </si>
  <si>
    <t>BRS 390 L</t>
  </si>
  <si>
    <t>BSC 248 L</t>
  </si>
  <si>
    <t>BSC 243 L</t>
  </si>
  <si>
    <t>BSJ 334 L</t>
  </si>
  <si>
    <t>BST 681 L</t>
  </si>
  <si>
    <t>BSS 223 L</t>
  </si>
  <si>
    <t>SEDAN</t>
  </si>
  <si>
    <t>COMPACTOR - NISSAN DIESSEL</t>
  </si>
  <si>
    <t>UD 85 NISSAN</t>
  </si>
  <si>
    <t>V0103</t>
  </si>
  <si>
    <t>V0111</t>
  </si>
  <si>
    <t>V0112</t>
  </si>
  <si>
    <t>V0115</t>
  </si>
  <si>
    <t>V0116</t>
  </si>
  <si>
    <t>V0124</t>
  </si>
  <si>
    <t>V0125</t>
  </si>
  <si>
    <t>V0128</t>
  </si>
  <si>
    <t>V0134</t>
  </si>
  <si>
    <t>V0135</t>
  </si>
  <si>
    <t>V0136</t>
  </si>
  <si>
    <t>V0139</t>
  </si>
  <si>
    <t>V0143</t>
  </si>
  <si>
    <t>V0144</t>
  </si>
  <si>
    <t>V0145</t>
  </si>
  <si>
    <t>V0148</t>
  </si>
  <si>
    <t xml:space="preserve">MACHINERY </t>
  </si>
  <si>
    <t>DUMPER</t>
  </si>
  <si>
    <t>honey sucker - NISSAN DIESEL</t>
  </si>
  <si>
    <t>watertenker - NISSAN DIESEL</t>
  </si>
  <si>
    <t>BC2025 [063]</t>
  </si>
  <si>
    <t>BC3890 [063]</t>
  </si>
  <si>
    <t>BC2019 [063]</t>
  </si>
  <si>
    <t>BC4085 [063]</t>
  </si>
  <si>
    <t>DMS 569 N [063]</t>
  </si>
  <si>
    <t>DLF 737 N [063]</t>
  </si>
  <si>
    <t>FUEL             037-078-1325</t>
  </si>
  <si>
    <t>INSURANCE             037-078-1327</t>
  </si>
  <si>
    <t>MATERIAL             037-066-1219</t>
  </si>
  <si>
    <t>RENTAL             037-078-1331</t>
  </si>
  <si>
    <t>LICENCE             037-078-1335</t>
  </si>
  <si>
    <t>RECOVERY             037-056-1043</t>
  </si>
  <si>
    <t>SUNDRY             037-066-1220</t>
  </si>
  <si>
    <t>DEPRECIATION              037-064-1091</t>
  </si>
  <si>
    <t>RENTAL                  037-078-1331</t>
  </si>
  <si>
    <t>LICENCE                037-078-1335</t>
  </si>
  <si>
    <t>FUEL                           037-078-1325</t>
  </si>
  <si>
    <t>SUNDRY                    037-066-1220</t>
  </si>
  <si>
    <t>FUEL                        037-078-1325</t>
  </si>
  <si>
    <t>FUEL                  037-078-1325</t>
  </si>
  <si>
    <t>RENTAL                                                           037-078-1331</t>
  </si>
  <si>
    <t>FUEL                          037-078-1325</t>
  </si>
  <si>
    <t>SUNDRY                 037-066-1220</t>
  </si>
  <si>
    <t>MATERIAL                      037-066-1219</t>
  </si>
  <si>
    <t>V0149</t>
  </si>
  <si>
    <t>034</t>
  </si>
  <si>
    <t>BZN 604 L</t>
  </si>
  <si>
    <t>veh no</t>
  </si>
  <si>
    <t>amount</t>
  </si>
  <si>
    <t>7mde total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</si>
  <si>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</si>
  <si>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</si>
  <si>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</si>
  <si>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</si>
  <si>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</si>
  <si>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</si>
  <si>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</si>
  <si>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</si>
  <si>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</si>
  <si>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</si>
  <si>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</si>
  <si>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</si>
  <si>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</si>
  <si>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</si>
  <si>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</si>
  <si>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</si>
  <si>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</si>
  <si>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</si>
  <si>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</si>
  <si>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</si>
  <si>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</si>
  <si>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</si>
  <si>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</si>
  <si>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</si>
  <si>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294</t>
  </si>
  <si>
    <t>295</t>
  </si>
  <si>
    <t>296</t>
  </si>
  <si>
    <t>297</t>
  </si>
  <si>
    <t>/5</t>
  </si>
  <si>
    <t>7mde delging</t>
  </si>
  <si>
    <t>7mde rente</t>
  </si>
  <si>
    <t>delging 12 mnd</t>
  </si>
  <si>
    <t>rente 12mnd</t>
  </si>
  <si>
    <t>12mnd</t>
  </si>
  <si>
    <t>INTEREST</t>
  </si>
  <si>
    <t>DISPOSALS</t>
  </si>
  <si>
    <t>CATERPILLAR</t>
  </si>
  <si>
    <t>CFC 703 L</t>
  </si>
  <si>
    <t>CFC 704 L</t>
  </si>
  <si>
    <t>034/066/1222</t>
  </si>
  <si>
    <t>V0151</t>
  </si>
  <si>
    <t>057/066/1222</t>
  </si>
  <si>
    <t>057</t>
  </si>
  <si>
    <t>dept</t>
  </si>
  <si>
    <t>type</t>
  </si>
  <si>
    <t>2x4 LDV</t>
  </si>
  <si>
    <t>4X4 LDV</t>
  </si>
  <si>
    <t>4x4 LDV</t>
  </si>
  <si>
    <t>4 TON TRUCK</t>
  </si>
  <si>
    <t>WATER TANKER</t>
  </si>
  <si>
    <r>
      <t>21</t>
    </r>
    <r>
      <rPr>
        <sz val="8"/>
        <rFont val="Consolas"/>
        <family val="3"/>
      </rPr>
      <t>m³</t>
    </r>
    <r>
      <rPr>
        <sz val="8"/>
        <rFont val="Arial"/>
        <family val="2"/>
      </rPr>
      <t xml:space="preserve"> COMPACTOR</t>
    </r>
  </si>
  <si>
    <t>COMBI</t>
  </si>
  <si>
    <t>COM SERV</t>
  </si>
  <si>
    <t>SID</t>
  </si>
  <si>
    <t>ESI</t>
  </si>
  <si>
    <t>SUV</t>
  </si>
  <si>
    <t>2c 2x4 LDV</t>
  </si>
  <si>
    <t>6a CREW CAB</t>
  </si>
  <si>
    <t>3a 4x4 LDV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</si>
  <si>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</si>
  <si>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</si>
  <si>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</si>
  <si>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</si>
  <si>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</si>
  <si>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</si>
  <si>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</si>
  <si>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</si>
  <si>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</si>
  <si>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</si>
  <si>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</si>
  <si>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</si>
  <si>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</si>
  <si>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6c 4 TON CHERRY PICKER</t>
  </si>
  <si>
    <t>659</t>
  </si>
  <si>
    <t>661</t>
  </si>
  <si>
    <t>662</t>
  </si>
  <si>
    <t>663</t>
  </si>
  <si>
    <t>674</t>
  </si>
  <si>
    <t>675</t>
  </si>
  <si>
    <t>8b 8 TON TRUCK</t>
  </si>
  <si>
    <t>682</t>
  </si>
  <si>
    <t>683</t>
  </si>
  <si>
    <t>684</t>
  </si>
  <si>
    <t>3b 4x4 LDV</t>
  </si>
  <si>
    <t>V0152</t>
  </si>
  <si>
    <t>153</t>
  </si>
  <si>
    <t>veh</t>
  </si>
  <si>
    <t>model</t>
  </si>
  <si>
    <t>ITEM NO</t>
  </si>
  <si>
    <t>AMOUNT</t>
  </si>
  <si>
    <t>12 MONTHS</t>
  </si>
  <si>
    <t>km budget</t>
  </si>
  <si>
    <t>km actual 2010/2011</t>
  </si>
  <si>
    <t>budget 2012/2013</t>
  </si>
  <si>
    <t>price</t>
  </si>
  <si>
    <t>rental</t>
  </si>
  <si>
    <t>inter</t>
  </si>
  <si>
    <t>depre</t>
  </si>
  <si>
    <t>insurance</t>
  </si>
  <si>
    <t>lic</t>
  </si>
  <si>
    <t>1</t>
  </si>
  <si>
    <t>602</t>
  </si>
  <si>
    <t>133</t>
  </si>
  <si>
    <t>2a</t>
  </si>
  <si>
    <t>simpson motors</t>
  </si>
  <si>
    <t>603</t>
  </si>
  <si>
    <t>2b</t>
  </si>
  <si>
    <t>604</t>
  </si>
  <si>
    <t>4</t>
  </si>
  <si>
    <t>605</t>
  </si>
  <si>
    <t>5</t>
  </si>
  <si>
    <t>642</t>
  </si>
  <si>
    <t>3b</t>
  </si>
  <si>
    <t>bb motors</t>
  </si>
  <si>
    <t>608</t>
  </si>
  <si>
    <t>2c</t>
  </si>
  <si>
    <t>7</t>
  </si>
  <si>
    <t>609</t>
  </si>
  <si>
    <t>610</t>
  </si>
  <si>
    <t>9</t>
  </si>
  <si>
    <t>611</t>
  </si>
  <si>
    <t>10</t>
  </si>
  <si>
    <t>612</t>
  </si>
  <si>
    <t>613</t>
  </si>
  <si>
    <t>606</t>
  </si>
  <si>
    <t>643</t>
  </si>
  <si>
    <t>614</t>
  </si>
  <si>
    <t>15</t>
  </si>
  <si>
    <t>628</t>
  </si>
  <si>
    <t>173</t>
  </si>
  <si>
    <t>3a</t>
  </si>
  <si>
    <t>601</t>
  </si>
  <si>
    <t>649</t>
  </si>
  <si>
    <t>292</t>
  </si>
  <si>
    <t>ntt toyota</t>
  </si>
  <si>
    <t>650</t>
  </si>
  <si>
    <t>293</t>
  </si>
  <si>
    <t>656</t>
  </si>
  <si>
    <t>6a</t>
  </si>
  <si>
    <t>657</t>
  </si>
  <si>
    <t>658</t>
  </si>
  <si>
    <t>687</t>
  </si>
  <si>
    <t>688</t>
  </si>
  <si>
    <t>298</t>
  </si>
  <si>
    <t>32</t>
  </si>
  <si>
    <t>644</t>
  </si>
  <si>
    <t>648</t>
  </si>
  <si>
    <t>3c</t>
  </si>
  <si>
    <t>44</t>
  </si>
  <si>
    <t>6c</t>
  </si>
  <si>
    <t>45</t>
  </si>
  <si>
    <t>660</t>
  </si>
  <si>
    <t>46</t>
  </si>
  <si>
    <t>47</t>
  </si>
  <si>
    <t>48</t>
  </si>
  <si>
    <t>49</t>
  </si>
  <si>
    <t>51</t>
  </si>
  <si>
    <t>8c</t>
  </si>
  <si>
    <t>52</t>
  </si>
  <si>
    <t>53</t>
  </si>
  <si>
    <t>8b</t>
  </si>
  <si>
    <t>55</t>
  </si>
  <si>
    <t>664</t>
  </si>
  <si>
    <t>72</t>
  </si>
  <si>
    <t>665</t>
  </si>
  <si>
    <t>73</t>
  </si>
  <si>
    <t>666</t>
  </si>
  <si>
    <t>74</t>
  </si>
  <si>
    <t>667</t>
  </si>
  <si>
    <t>75</t>
  </si>
  <si>
    <t>686</t>
  </si>
  <si>
    <t>115</t>
  </si>
  <si>
    <t>8e</t>
  </si>
  <si>
    <t>673</t>
  </si>
  <si>
    <t>116</t>
  </si>
  <si>
    <t>6b</t>
  </si>
  <si>
    <t>668</t>
  </si>
  <si>
    <t>128</t>
  </si>
  <si>
    <t>129</t>
  </si>
  <si>
    <t>679</t>
  </si>
  <si>
    <t>131</t>
  </si>
  <si>
    <t>8a</t>
  </si>
  <si>
    <t>669</t>
  </si>
  <si>
    <t>138</t>
  </si>
  <si>
    <t>615</t>
  </si>
  <si>
    <t>142</t>
  </si>
  <si>
    <t>616</t>
  </si>
  <si>
    <t>143</t>
  </si>
  <si>
    <t>617</t>
  </si>
  <si>
    <t>144</t>
  </si>
  <si>
    <t>618</t>
  </si>
  <si>
    <t>145</t>
  </si>
  <si>
    <t>645</t>
  </si>
  <si>
    <t>152</t>
  </si>
  <si>
    <t>646</t>
  </si>
  <si>
    <t>647</t>
  </si>
  <si>
    <t>154</t>
  </si>
  <si>
    <t>651</t>
  </si>
  <si>
    <t>155</t>
  </si>
  <si>
    <t>652</t>
  </si>
  <si>
    <t>156</t>
  </si>
  <si>
    <t>607</t>
  </si>
  <si>
    <t>158</t>
  </si>
  <si>
    <t>619</t>
  </si>
  <si>
    <t>159</t>
  </si>
  <si>
    <t>620</t>
  </si>
  <si>
    <t>160</t>
  </si>
  <si>
    <t>621</t>
  </si>
  <si>
    <t>161</t>
  </si>
  <si>
    <t>622</t>
  </si>
  <si>
    <t>162</t>
  </si>
  <si>
    <t>676</t>
  </si>
  <si>
    <t>168</t>
  </si>
  <si>
    <t>677</t>
  </si>
  <si>
    <t>169</t>
  </si>
  <si>
    <t>678</t>
  </si>
  <si>
    <t>170</t>
  </si>
  <si>
    <t>623</t>
  </si>
  <si>
    <t>253</t>
  </si>
  <si>
    <t>624</t>
  </si>
  <si>
    <t>254</t>
  </si>
  <si>
    <t>625</t>
  </si>
  <si>
    <t>255</t>
  </si>
  <si>
    <t>626</t>
  </si>
  <si>
    <t>256</t>
  </si>
  <si>
    <t>627</t>
  </si>
  <si>
    <t>257</t>
  </si>
  <si>
    <t>260</t>
  </si>
  <si>
    <t>261</t>
  </si>
  <si>
    <t>262</t>
  </si>
  <si>
    <t>263</t>
  </si>
  <si>
    <t>685</t>
  </si>
  <si>
    <t>110</t>
  </si>
  <si>
    <t>8d</t>
  </si>
  <si>
    <t>653</t>
  </si>
  <si>
    <t>140</t>
  </si>
  <si>
    <t>654</t>
  </si>
  <si>
    <t>146</t>
  </si>
  <si>
    <t>655</t>
  </si>
  <si>
    <t>149</t>
  </si>
  <si>
    <t>680</t>
  </si>
  <si>
    <t>202</t>
  </si>
  <si>
    <t>681</t>
  </si>
  <si>
    <t>new</t>
  </si>
  <si>
    <t>670</t>
  </si>
  <si>
    <t>671</t>
  </si>
  <si>
    <t>672</t>
  </si>
  <si>
    <t>1-5 TLB</t>
  </si>
  <si>
    <t>2-5 ROLLER</t>
  </si>
  <si>
    <t>4-5 TIPPER TRUCK</t>
  </si>
  <si>
    <t>3-5 WATER TANKER</t>
  </si>
  <si>
    <t>5-5 CRANE TRUCK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</si>
  <si>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</si>
  <si>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</si>
  <si>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</si>
  <si>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</si>
  <si>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</si>
  <si>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</si>
  <si>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</si>
  <si>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</si>
  <si>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</si>
  <si>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</si>
  <si>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</si>
  <si>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1-5</t>
  </si>
  <si>
    <t>2-5</t>
  </si>
  <si>
    <t>3-5</t>
  </si>
  <si>
    <t>4-5</t>
  </si>
  <si>
    <t>5-5</t>
  </si>
  <si>
    <t xml:space="preserve">BELL EQUIPMENT </t>
  </si>
  <si>
    <t>TZN SWAARVOERTUIE</t>
  </si>
  <si>
    <t>REPUBLIC BUSH TRUCKS</t>
  </si>
  <si>
    <t>V0153</t>
  </si>
  <si>
    <t>V0154</t>
  </si>
  <si>
    <t>V0155</t>
  </si>
  <si>
    <t>V0156</t>
  </si>
  <si>
    <t>V0157</t>
  </si>
  <si>
    <t>V0158</t>
  </si>
  <si>
    <t>V0159</t>
  </si>
  <si>
    <t>V0160</t>
  </si>
  <si>
    <t>V0164</t>
  </si>
  <si>
    <t>V0167</t>
  </si>
  <si>
    <t>V0168</t>
  </si>
  <si>
    <t>V0169</t>
  </si>
  <si>
    <t>V0170</t>
  </si>
  <si>
    <t>V0171</t>
  </si>
  <si>
    <t>V0172</t>
  </si>
  <si>
    <t>V0173</t>
  </si>
  <si>
    <t>V0174</t>
  </si>
  <si>
    <t>V0175</t>
  </si>
  <si>
    <t>V0176</t>
  </si>
  <si>
    <t>V0177</t>
  </si>
  <si>
    <t>V0178</t>
  </si>
  <si>
    <t>V0179</t>
  </si>
  <si>
    <t>V0180</t>
  </si>
  <si>
    <t>V0181</t>
  </si>
  <si>
    <t>V0182</t>
  </si>
  <si>
    <t>V0183</t>
  </si>
  <si>
    <t>V0184</t>
  </si>
  <si>
    <t>V0185</t>
  </si>
  <si>
    <t>V0186</t>
  </si>
  <si>
    <t>V0187</t>
  </si>
  <si>
    <t>V0189</t>
  </si>
  <si>
    <t>60%</t>
  </si>
  <si>
    <t>10%</t>
  </si>
  <si>
    <t>Includes initial License and Registration costs</t>
  </si>
  <si>
    <t>Model</t>
  </si>
  <si>
    <t>Table</t>
  </si>
  <si>
    <t>Quote Number</t>
  </si>
  <si>
    <t>Parameters</t>
  </si>
  <si>
    <t>Monthly Rental incl VAT per vehicle</t>
  </si>
  <si>
    <t>VAT Claim</t>
  </si>
  <si>
    <t>Nissan UD 85B F/C</t>
  </si>
  <si>
    <t>8`10 A</t>
  </si>
  <si>
    <t>60 months</t>
  </si>
  <si>
    <t>Nissan UD 80B F/C</t>
  </si>
  <si>
    <t>8`10 B</t>
  </si>
  <si>
    <t>8`10 C</t>
  </si>
  <si>
    <t>8`10 D</t>
  </si>
  <si>
    <t>8`10 E</t>
  </si>
  <si>
    <t>9`10</t>
  </si>
  <si>
    <t>Toyota Dyna 4-093</t>
  </si>
  <si>
    <t>5`10</t>
  </si>
  <si>
    <t>Nissan UD 40A</t>
  </si>
  <si>
    <t>6`10 A</t>
  </si>
  <si>
    <t>6`10 B</t>
  </si>
  <si>
    <t>6`10 C</t>
  </si>
  <si>
    <t>Nissan UD 60B F/C</t>
  </si>
  <si>
    <t>7`10</t>
  </si>
  <si>
    <t>Nissan NP300 2.4i LWB 4X4</t>
  </si>
  <si>
    <t>3`10 A</t>
  </si>
  <si>
    <t>3`10 B</t>
  </si>
  <si>
    <t>3`10 C</t>
  </si>
  <si>
    <t>Toyota Quantum 2.7 14 seater bus</t>
  </si>
  <si>
    <t>4`10</t>
  </si>
  <si>
    <t>Chevrolet Aveo 1.6 L</t>
  </si>
  <si>
    <t>1`10</t>
  </si>
  <si>
    <t>Isuzu KB200i LWB Fleetside</t>
  </si>
  <si>
    <t>2`10 A</t>
  </si>
  <si>
    <t>2`10 B</t>
  </si>
  <si>
    <t>2`10 C</t>
  </si>
  <si>
    <t>NEW VEH</t>
  </si>
  <si>
    <t>CLW 529 L</t>
  </si>
  <si>
    <t>CLW 557 L</t>
  </si>
  <si>
    <t>CLW 563 L</t>
  </si>
  <si>
    <t>CLW 565 L</t>
  </si>
  <si>
    <t>CLW 523 L</t>
  </si>
  <si>
    <t>CLW 862 L</t>
  </si>
  <si>
    <t>CLW 860 L</t>
  </si>
  <si>
    <t>CLW 856 L</t>
  </si>
  <si>
    <t>CLW 831 L</t>
  </si>
  <si>
    <t>CLW 837 L</t>
  </si>
  <si>
    <t>CLW 840 L</t>
  </si>
  <si>
    <t>CLW 864 L</t>
  </si>
  <si>
    <t>CLW 845 L</t>
  </si>
  <si>
    <t>CLW 849 L</t>
  </si>
  <si>
    <t>CLW 537 L</t>
  </si>
  <si>
    <t>CLW 553 L</t>
  </si>
  <si>
    <t>CLW 533 L</t>
  </si>
  <si>
    <t>CLW 834 L</t>
  </si>
  <si>
    <t>CLW 868 L</t>
  </si>
  <si>
    <t>CLX 118 L</t>
  </si>
  <si>
    <t>CLW 542 L</t>
  </si>
  <si>
    <t>CMB 436 L</t>
  </si>
  <si>
    <t>CMB 455 L</t>
  </si>
  <si>
    <t>CMB 576 L</t>
  </si>
  <si>
    <t>CMB 574 L</t>
  </si>
  <si>
    <t>CMB 490 L</t>
  </si>
  <si>
    <t>CMB 486 L</t>
  </si>
  <si>
    <t>CMB 581 L</t>
  </si>
  <si>
    <t>CMB 583 L</t>
  </si>
  <si>
    <t>CMB 608 L</t>
  </si>
  <si>
    <t>CMB 595 L</t>
  </si>
  <si>
    <t>CMB 415 L</t>
  </si>
  <si>
    <t>CMB 428 L</t>
  </si>
  <si>
    <t>CMB 403 L</t>
  </si>
  <si>
    <t>CMB 471 L</t>
  </si>
  <si>
    <t>CMB 433 L</t>
  </si>
  <si>
    <t>CMB 461 L</t>
  </si>
  <si>
    <t>CMB 593 L</t>
  </si>
  <si>
    <t>CMB 598 L</t>
  </si>
  <si>
    <t>CMB 588 L</t>
  </si>
  <si>
    <t>CMB 587 L</t>
  </si>
  <si>
    <t>CMB 495 L</t>
  </si>
  <si>
    <t>CMB 477 L</t>
  </si>
  <si>
    <t>CMB 620 L</t>
  </si>
  <si>
    <t>CMB 422 L</t>
  </si>
  <si>
    <t>CMB 615 L</t>
  </si>
  <si>
    <t>PRICE</t>
  </si>
  <si>
    <t>ENGINE NO</t>
  </si>
  <si>
    <t>CHASSIS</t>
  </si>
  <si>
    <t>REG. DAT/MODEL</t>
  </si>
  <si>
    <t>REG. NO</t>
  </si>
  <si>
    <t>DEPT</t>
  </si>
  <si>
    <t>FINANCE</t>
  </si>
  <si>
    <t>CLY 919 L</t>
  </si>
  <si>
    <t>CLY 929 L</t>
  </si>
  <si>
    <t>CJF 828 L</t>
  </si>
  <si>
    <t>M/BENZ  -057</t>
  </si>
  <si>
    <t>CMB 613 L</t>
  </si>
  <si>
    <t>CMN 314 L</t>
  </si>
  <si>
    <t>CML 499 L</t>
  </si>
  <si>
    <t>CMN 322 L</t>
  </si>
  <si>
    <t>CMN 328 L</t>
  </si>
  <si>
    <t>CML 497 L</t>
  </si>
  <si>
    <t>CMJ 501 L</t>
  </si>
  <si>
    <t>CMJ 531 L</t>
  </si>
  <si>
    <t>CMS 102 L</t>
  </si>
  <si>
    <t>CMJ 538 L</t>
  </si>
  <si>
    <t>CMJ 505 L</t>
  </si>
  <si>
    <t>CMJ 507 L</t>
  </si>
  <si>
    <t>CMJ 511 L</t>
  </si>
  <si>
    <t>CMN 476 L</t>
  </si>
  <si>
    <t>CMN 471 L</t>
  </si>
  <si>
    <t>CMS 094 L</t>
  </si>
  <si>
    <t>CMP 207 L</t>
  </si>
  <si>
    <t>CMS 105 L</t>
  </si>
  <si>
    <t>CML 496 L</t>
  </si>
  <si>
    <t>CMN 332 L</t>
  </si>
  <si>
    <t>CML 494 L</t>
  </si>
  <si>
    <t>CMS 097 L</t>
  </si>
  <si>
    <t>CMS 114 L</t>
  </si>
  <si>
    <t>CMN 100 L</t>
  </si>
  <si>
    <t>CMJ 521 L</t>
  </si>
  <si>
    <t>CMF 761 L</t>
  </si>
  <si>
    <t>CMF 759 L</t>
  </si>
  <si>
    <t>CMS 088 L</t>
  </si>
  <si>
    <t>HINO 300</t>
  </si>
  <si>
    <t>ISUZU KB200i 2x4  [034]</t>
  </si>
  <si>
    <t>183</t>
  </si>
  <si>
    <t>TOYOTA QUANTUM [003]</t>
  </si>
  <si>
    <t>ISUZU KB200i 2x4  [006]</t>
  </si>
  <si>
    <t>TOYOTA QUANTUM [006]</t>
  </si>
  <si>
    <t>ISUZU KB200i 2x4 [003]</t>
  </si>
  <si>
    <t>CHEVROLET AVEO 1.6  [057]</t>
  </si>
  <si>
    <t>ISUZU KB200i 2x4 CANOPY  [133]</t>
  </si>
  <si>
    <t>ISUZU KB200i 2x4 MESH [133]</t>
  </si>
  <si>
    <t>ISUZU KB200i 2x4 [073]</t>
  </si>
  <si>
    <t>ISUZU KB200i 2x4 [083]</t>
  </si>
  <si>
    <t>ISUZU KB200i 2x4 [173]</t>
  </si>
  <si>
    <t>ISUZU KB200i 2x4 [037]</t>
  </si>
  <si>
    <t>ISUZU KB200i 2x4 [103]</t>
  </si>
  <si>
    <t>ISUZU KB200i 2x4 [093]</t>
  </si>
  <si>
    <t>ISUZU KB200i 2x4 [105]</t>
  </si>
  <si>
    <t>NISSAN NP 300 4X4 [173]</t>
  </si>
  <si>
    <t>NISSAN NP 300 4X4 [063]</t>
  </si>
  <si>
    <t>TOYOTA DYNA 150 [063]</t>
  </si>
  <si>
    <t>NISSAN   UD 40A M02 [063]</t>
  </si>
  <si>
    <t>NISSAN  UD 85   TIPPER [063]</t>
  </si>
  <si>
    <t>NISSAN  UD 80 WATER TANKER [063]</t>
  </si>
  <si>
    <t>TLB BELL 315 SJ 4X4 [063]</t>
  </si>
  <si>
    <t>ROLLER VOLVO SD100DC [063]</t>
  </si>
  <si>
    <t>ISUZU FSR800 WATER TANKER [063]</t>
  </si>
  <si>
    <t>TIPPER TRUCK TATA 1518LPK [063]</t>
  </si>
  <si>
    <t>NISSAN NP 300 4X4 [037]</t>
  </si>
  <si>
    <t>NISSAN NP 300 4X4 [073]</t>
  </si>
  <si>
    <t>NISSAN   UD 40A M02 [073]</t>
  </si>
  <si>
    <t>NISSAN  UD 80 WATER TANKER [073]</t>
  </si>
  <si>
    <t>NISSAN  UD 80  HONEY SUCKER [093]</t>
  </si>
  <si>
    <t>TOYOTA DYNA 150 [103]</t>
  </si>
  <si>
    <t>NISSAN   UD 40A M02 [103]</t>
  </si>
  <si>
    <t>TOYOTA DYNA 150 [105]</t>
  </si>
  <si>
    <t>NISSAN   UD 40A M02 [105]</t>
  </si>
  <si>
    <t>NISSAN  UD40  TIPPER [105]</t>
  </si>
  <si>
    <t>HINO 300 [133]</t>
  </si>
  <si>
    <t>ISUZU  FVZ 1600 COMPACTOR [133]</t>
  </si>
  <si>
    <t>NISSAN   UD 40A M02 [173]</t>
  </si>
  <si>
    <t>NISSAN  UD40 - CHERRY PICKER [173]</t>
  </si>
  <si>
    <t xml:space="preserve">NISSAN  UD 330WF T27 CRANE TRUCK </t>
  </si>
  <si>
    <t>2X4</t>
  </si>
  <si>
    <t>2X4 LDV</t>
  </si>
  <si>
    <t xml:space="preserve">TOYOTA DYNA </t>
  </si>
  <si>
    <t>UD 40 CREW CAB</t>
  </si>
  <si>
    <t>UD 40  TIPPER</t>
  </si>
  <si>
    <r>
      <t>21</t>
    </r>
    <r>
      <rPr>
        <b/>
        <sz val="8"/>
        <rFont val="Calibri"/>
        <family val="2"/>
      </rPr>
      <t>m³ COMPACTOR</t>
    </r>
  </si>
  <si>
    <t>UD 85 TIPPER</t>
  </si>
  <si>
    <t>UD 80 HONEY SUCKER</t>
  </si>
  <si>
    <t>UD 80 WATER TANKER</t>
  </si>
  <si>
    <t>NISSAN UD 90</t>
  </si>
  <si>
    <t>V0163</t>
  </si>
  <si>
    <t>V0165</t>
  </si>
  <si>
    <t>V0166</t>
  </si>
  <si>
    <t>DYNA</t>
  </si>
  <si>
    <t>UD 40 CREW CAP</t>
  </si>
  <si>
    <t>UD 80 TIPPER</t>
  </si>
  <si>
    <t>V0188</t>
  </si>
  <si>
    <t>NISSAN  UD 80 C H07 [173] CRANE</t>
  </si>
  <si>
    <t>NISSAN  UD 80 C H07 [063] CRANE</t>
  </si>
  <si>
    <t>CMY 249 L</t>
  </si>
  <si>
    <t>CNF 628 L</t>
  </si>
  <si>
    <t>CNF 616 L</t>
  </si>
  <si>
    <t>CMX 083 L</t>
  </si>
  <si>
    <t>CNF 598 L</t>
  </si>
  <si>
    <t>CNC 461 L</t>
  </si>
  <si>
    <t>desc</t>
  </si>
  <si>
    <t>DNR 338N</t>
  </si>
  <si>
    <t>ISUZU LAW</t>
  </si>
  <si>
    <t>LDV</t>
  </si>
  <si>
    <t>verkoop</t>
  </si>
  <si>
    <t>273958</t>
  </si>
  <si>
    <t>5407586</t>
  </si>
  <si>
    <t>1990 02 08  (1988)</t>
  </si>
  <si>
    <t>DKN 801N</t>
  </si>
  <si>
    <t>TOYOTA STALLION</t>
  </si>
  <si>
    <t>2Y9072188</t>
  </si>
  <si>
    <t>YF50010513</t>
  </si>
  <si>
    <t>1993 03 10  (1993)</t>
  </si>
  <si>
    <t>DLV 284N</t>
  </si>
  <si>
    <t>TOYOTA HILUX 4X4</t>
  </si>
  <si>
    <t>wshop</t>
  </si>
  <si>
    <t>4Y01351501</t>
  </si>
  <si>
    <t>YN679003631</t>
  </si>
  <si>
    <t>1987 08 24  (1987)</t>
  </si>
  <si>
    <t>DLF 728N</t>
  </si>
  <si>
    <t>TRAILOR</t>
  </si>
  <si>
    <t>T</t>
  </si>
  <si>
    <t>traffic</t>
  </si>
  <si>
    <t>5987070902</t>
  </si>
  <si>
    <t>1987 07 15  (1975)</t>
  </si>
  <si>
    <t>DNR 351N</t>
  </si>
  <si>
    <t>59820824</t>
  </si>
  <si>
    <t>1982 12 01  (1982)</t>
  </si>
  <si>
    <t>DNP 896N</t>
  </si>
  <si>
    <t>59820825</t>
  </si>
  <si>
    <t xml:space="preserve">DLV 287N </t>
  </si>
  <si>
    <t>VENTER TRAILOR</t>
  </si>
  <si>
    <t>VA777221</t>
  </si>
  <si>
    <t>1984 08 23 (1984)</t>
  </si>
  <si>
    <t>DNR 348N</t>
  </si>
  <si>
    <t>WELFIT ODDY TRAILOR</t>
  </si>
  <si>
    <t>1217/82</t>
  </si>
  <si>
    <t>1983 01 25  (1982)</t>
  </si>
  <si>
    <t>DNP 894N</t>
  </si>
  <si>
    <t xml:space="preserve">T </t>
  </si>
  <si>
    <t>10800709</t>
  </si>
  <si>
    <t>1984 10 04  (1985)</t>
  </si>
  <si>
    <t>DLV 289N</t>
  </si>
  <si>
    <t>FORD TRUCTOR</t>
  </si>
  <si>
    <t>T/R</t>
  </si>
  <si>
    <t>POO84</t>
  </si>
  <si>
    <t>CS11300</t>
  </si>
  <si>
    <t>1982 08 31  (1982)</t>
  </si>
  <si>
    <t>DNB 902N</t>
  </si>
  <si>
    <t>MAZDA B 1600</t>
  </si>
  <si>
    <t>302729</t>
  </si>
  <si>
    <t>NR286512</t>
  </si>
  <si>
    <t>1987 10 19  (1987)</t>
  </si>
  <si>
    <t>DNP 897N</t>
  </si>
  <si>
    <t>2Y9067923</t>
  </si>
  <si>
    <t>YF50008472</t>
  </si>
  <si>
    <t>1993 02 08  (1993)</t>
  </si>
  <si>
    <t>DLF 680N</t>
  </si>
  <si>
    <t>M BENZ TRUCK</t>
  </si>
  <si>
    <t>H/V</t>
  </si>
  <si>
    <t>MBO1050SA045158S</t>
  </si>
  <si>
    <t>38300726012903</t>
  </si>
  <si>
    <t>1990 03 28  (1990)</t>
  </si>
  <si>
    <t>DLV 307N</t>
  </si>
  <si>
    <t>swm</t>
  </si>
  <si>
    <t>MK01034SA074199W</t>
  </si>
  <si>
    <t>39734662999347</t>
  </si>
  <si>
    <t>1993 06 23  (1993)</t>
  </si>
  <si>
    <t>DLV 298N</t>
  </si>
  <si>
    <t>TOYOTA HILUX</t>
  </si>
  <si>
    <t>22R4057781</t>
  </si>
  <si>
    <t>RN6700002201</t>
  </si>
  <si>
    <t>1995 06 20  (1995)</t>
  </si>
  <si>
    <t>DLV 297N</t>
  </si>
  <si>
    <t>mm</t>
  </si>
  <si>
    <t>22R4087296</t>
  </si>
  <si>
    <t>RN6700002869</t>
  </si>
  <si>
    <t>DNP 885N</t>
  </si>
  <si>
    <t>4Y9032876</t>
  </si>
  <si>
    <t>YN670025273</t>
  </si>
  <si>
    <t>1989  12 05  (1989)</t>
  </si>
  <si>
    <t>DLV 299N</t>
  </si>
  <si>
    <t>4Y9089313</t>
  </si>
  <si>
    <t>31YN6707007774</t>
  </si>
  <si>
    <t>1994 06 02  (1994)</t>
  </si>
  <si>
    <t>DNP 893N</t>
  </si>
  <si>
    <t>MITSUBISHI TRUCK</t>
  </si>
  <si>
    <t>FL2790</t>
  </si>
  <si>
    <t>FL096402</t>
  </si>
  <si>
    <t>1985 12 24  (1985)</t>
  </si>
  <si>
    <t>DNP 886N</t>
  </si>
  <si>
    <t>23397</t>
  </si>
  <si>
    <t>NR368981</t>
  </si>
  <si>
    <t>1988 12 02  (1988)</t>
  </si>
  <si>
    <t>DNP 889N</t>
  </si>
  <si>
    <t>parks</t>
  </si>
  <si>
    <t>25578</t>
  </si>
  <si>
    <t>NR367447</t>
  </si>
  <si>
    <t>1998 12 02  (1998)</t>
  </si>
  <si>
    <t>DNB 904N</t>
  </si>
  <si>
    <t>LD82096SA030277T</t>
  </si>
  <si>
    <t>NR422867</t>
  </si>
  <si>
    <t>1989 10 17  (1989)</t>
  </si>
  <si>
    <t>DNB 905N</t>
  </si>
  <si>
    <t>302487</t>
  </si>
  <si>
    <t>NR420109</t>
  </si>
  <si>
    <t>DLV 314N</t>
  </si>
  <si>
    <t>FORD TRITON</t>
  </si>
  <si>
    <t>M/V</t>
  </si>
  <si>
    <t>LD82096SA037401W</t>
  </si>
  <si>
    <t>NR581849H</t>
  </si>
  <si>
    <t>1992 06 11  (1992)</t>
  </si>
  <si>
    <t>DLG 109N</t>
  </si>
  <si>
    <t>NISSAN TRUCK</t>
  </si>
  <si>
    <t>PD645721</t>
  </si>
  <si>
    <t>2297D</t>
  </si>
  <si>
    <t>1981 10 27  (1981)</t>
  </si>
  <si>
    <t>DMS 571N</t>
  </si>
  <si>
    <t>ISUZU TRUCK</t>
  </si>
  <si>
    <t>SA013654K</t>
  </si>
  <si>
    <t>5260023</t>
  </si>
  <si>
    <t>1983  11 22  (1983)</t>
  </si>
  <si>
    <t>DKL 578N</t>
  </si>
  <si>
    <t>MITSHUBISHI TRUCK</t>
  </si>
  <si>
    <t>023721L</t>
  </si>
  <si>
    <t>FL355807</t>
  </si>
  <si>
    <t>1986 01 10  (1985)</t>
  </si>
  <si>
    <t>DLV 312N</t>
  </si>
  <si>
    <t xml:space="preserve">M/BENZ TRUCK </t>
  </si>
  <si>
    <t>MK01034SA072551</t>
  </si>
  <si>
    <t>39730862999974</t>
  </si>
  <si>
    <t>1992 06 30  (1992)</t>
  </si>
  <si>
    <t>DNR 346N</t>
  </si>
  <si>
    <t>KOMP</t>
  </si>
  <si>
    <t>6430112</t>
  </si>
  <si>
    <t>678226</t>
  </si>
  <si>
    <t>1982 02 05  (1982)</t>
  </si>
  <si>
    <t>DKX 042N</t>
  </si>
  <si>
    <t>MITSHUBISHI CANTER</t>
  </si>
  <si>
    <t>4D31B16458</t>
  </si>
  <si>
    <t>NR659878</t>
  </si>
  <si>
    <t>1994 04 13  (1994)</t>
  </si>
  <si>
    <t>DLG 098N</t>
  </si>
  <si>
    <t>5987070908</t>
  </si>
  <si>
    <t>1987 07 15  (1967)</t>
  </si>
  <si>
    <t>DLF 731N</t>
  </si>
  <si>
    <t>5987070905</t>
  </si>
  <si>
    <t>1987 07 15  (1960)</t>
  </si>
  <si>
    <t>DNB 893N</t>
  </si>
  <si>
    <t>10801092</t>
  </si>
  <si>
    <t>1990 09 26  (1990)</t>
  </si>
  <si>
    <t>DLV 309N</t>
  </si>
  <si>
    <t>VENTER ELITE  6 TRAILOR</t>
  </si>
  <si>
    <t>V92681719</t>
  </si>
  <si>
    <t>1992 07 15  (1992)</t>
  </si>
  <si>
    <t>DLV 304N</t>
  </si>
  <si>
    <t>SKH3992</t>
  </si>
  <si>
    <t>1993 07 13  (1993)</t>
  </si>
  <si>
    <t>DNB 892N</t>
  </si>
  <si>
    <t>MAZDA B1600</t>
  </si>
  <si>
    <t>302394</t>
  </si>
  <si>
    <t>R2862511</t>
  </si>
  <si>
    <t>1987 09 23  (1987)</t>
  </si>
  <si>
    <t>DNB 894N</t>
  </si>
  <si>
    <t>FORD COURIER</t>
  </si>
  <si>
    <t>F6342523</t>
  </si>
  <si>
    <t>NR475520H</t>
  </si>
  <si>
    <t>1990 09 27  (1990)</t>
  </si>
  <si>
    <t>DLF 679N</t>
  </si>
  <si>
    <t>85450787</t>
  </si>
  <si>
    <t>NR631740</t>
  </si>
  <si>
    <t>1991 07 01  (1991)</t>
  </si>
  <si>
    <t>DKX 041N</t>
  </si>
  <si>
    <t>2Y9089411</t>
  </si>
  <si>
    <t>32YF5000019666</t>
  </si>
  <si>
    <t>1994 04 26  (1994)</t>
  </si>
  <si>
    <t>DKG 299N</t>
  </si>
  <si>
    <t>LD82096SA03820W</t>
  </si>
  <si>
    <t>NR618105</t>
  </si>
  <si>
    <t>1993 05 11  (1993)</t>
  </si>
  <si>
    <t>DKG 301N</t>
  </si>
  <si>
    <t>LD82096SA038104W</t>
  </si>
  <si>
    <t>NR618107</t>
  </si>
  <si>
    <t>DLV 296N</t>
  </si>
  <si>
    <t>MITSUBISHI CANTER</t>
  </si>
  <si>
    <t>4031B75423</t>
  </si>
  <si>
    <t>NR051011</t>
  </si>
  <si>
    <t xml:space="preserve">1995 06 26  (1995) </t>
  </si>
  <si>
    <t>DLV 295N</t>
  </si>
  <si>
    <t>LD82096SA042785A</t>
  </si>
  <si>
    <t>NR044835</t>
  </si>
  <si>
    <t>1995 06 26  (1995)</t>
  </si>
  <si>
    <t>DLG 100N</t>
  </si>
  <si>
    <t>FORD TRECTOR</t>
  </si>
  <si>
    <t>D385182</t>
  </si>
  <si>
    <t>16337</t>
  </si>
  <si>
    <t>1987 07 14  (1973)</t>
  </si>
  <si>
    <t>DLG 112N</t>
  </si>
  <si>
    <t>D046949</t>
  </si>
  <si>
    <t>TS04BA45376</t>
  </si>
  <si>
    <t>1981  09 30  (1981)</t>
  </si>
  <si>
    <t>BGC 439N</t>
  </si>
  <si>
    <t>EA598488</t>
  </si>
  <si>
    <t>NR107989</t>
  </si>
  <si>
    <t>1996 04 10  (1996)</t>
  </si>
  <si>
    <t>DLF 735N</t>
  </si>
  <si>
    <t xml:space="preserve">FORD 5000 TREKKER </t>
  </si>
  <si>
    <t>E1578509L20B</t>
  </si>
  <si>
    <t>E1578509L</t>
  </si>
  <si>
    <t>1987 07 15  (1970)</t>
  </si>
  <si>
    <t>DLG 104N</t>
  </si>
  <si>
    <t>LD82009SA005422K</t>
  </si>
  <si>
    <t>2692</t>
  </si>
  <si>
    <t>1983 10 26  (1983</t>
  </si>
  <si>
    <t>DKN 792N</t>
  </si>
  <si>
    <t>D0000667</t>
  </si>
  <si>
    <t>TSO6EEY79348</t>
  </si>
  <si>
    <t>1984 09 18  (1984)</t>
  </si>
  <si>
    <t xml:space="preserve">DLV 293N </t>
  </si>
  <si>
    <t>D000668</t>
  </si>
  <si>
    <t>TSO4EE79347</t>
  </si>
  <si>
    <t xml:space="preserve">DKN 799N </t>
  </si>
  <si>
    <t>25770</t>
  </si>
  <si>
    <t>NR702256</t>
  </si>
  <si>
    <t>1988 12 07  (1988)</t>
  </si>
  <si>
    <t>DKN 793N</t>
  </si>
  <si>
    <t>FERGUSON TRAILOR</t>
  </si>
  <si>
    <t>5987070901</t>
  </si>
  <si>
    <t>1987 08 11  (1960)</t>
  </si>
  <si>
    <t>DLF 737N</t>
  </si>
  <si>
    <t>5987070903</t>
  </si>
  <si>
    <t>1987 07 15  (1974)</t>
  </si>
  <si>
    <t>DLF 682N</t>
  </si>
  <si>
    <t>WATER TANK</t>
  </si>
  <si>
    <t>5987070904</t>
  </si>
  <si>
    <t>1987 07 15  (1973)</t>
  </si>
  <si>
    <t>DKX 038N</t>
  </si>
  <si>
    <t>POLE TRAILOR</t>
  </si>
  <si>
    <t>10604</t>
  </si>
  <si>
    <t>1981 11 25  (1981)</t>
  </si>
  <si>
    <t>DLV 291N</t>
  </si>
  <si>
    <t>10605</t>
  </si>
  <si>
    <t>1981 11 25   (1981)</t>
  </si>
  <si>
    <t>DKX 039N</t>
  </si>
  <si>
    <t>1982 01 19  (1982)</t>
  </si>
  <si>
    <t>DLF 733N</t>
  </si>
  <si>
    <t>JOUBERT TRAILOR</t>
  </si>
  <si>
    <t>5987070909</t>
  </si>
  <si>
    <t>DNR 343N</t>
  </si>
  <si>
    <t>598409101540</t>
  </si>
  <si>
    <t>1994 09 18  (1994)</t>
  </si>
  <si>
    <t>DNB 901N</t>
  </si>
  <si>
    <t>2000 PEGO TRAILOR</t>
  </si>
  <si>
    <t>1921-01</t>
  </si>
  <si>
    <t>1985 10 24  (1985)</t>
  </si>
  <si>
    <t>DMS 580N</t>
  </si>
  <si>
    <t>10801112</t>
  </si>
  <si>
    <t>1991 11 01  (1991)</t>
  </si>
  <si>
    <t>DMS 582N</t>
  </si>
  <si>
    <t>LAWNMOWER TRAILOR</t>
  </si>
  <si>
    <t>TBC 5991111541</t>
  </si>
  <si>
    <t>1991 11 19  (1991)</t>
  </si>
  <si>
    <t>DNB 889N</t>
  </si>
  <si>
    <t>193417</t>
  </si>
  <si>
    <t>193423</t>
  </si>
  <si>
    <t>1987 08 13  (1973)</t>
  </si>
  <si>
    <t>DLF 729N</t>
  </si>
  <si>
    <t>WELDER TRAILOR</t>
  </si>
  <si>
    <t>DMS 569N</t>
  </si>
  <si>
    <t>10800421</t>
  </si>
  <si>
    <t>1981 11 13  (1981)</t>
  </si>
  <si>
    <t>E/M</t>
  </si>
  <si>
    <t>277340482</t>
  </si>
  <si>
    <t>6551544</t>
  </si>
  <si>
    <t>1987 08 13  (1975)</t>
  </si>
  <si>
    <t>DLG 106N</t>
  </si>
  <si>
    <t>120838PHZ</t>
  </si>
  <si>
    <t>1194</t>
  </si>
  <si>
    <t xml:space="preserve">1982 05 14  (1982) </t>
  </si>
  <si>
    <t>DNB 886N</t>
  </si>
  <si>
    <t>FLEXIAN TRAILOR</t>
  </si>
  <si>
    <t>125</t>
  </si>
  <si>
    <t>1982 09 02  (1982)</t>
  </si>
  <si>
    <t>DNB 899N</t>
  </si>
  <si>
    <t>BOMAG TRAILOR</t>
  </si>
  <si>
    <t>BW7600184</t>
  </si>
  <si>
    <t>1985 10 09  (1985)</t>
  </si>
  <si>
    <t>DNP 901N</t>
  </si>
  <si>
    <t>VERMEER 620 BC TRAILOR</t>
  </si>
  <si>
    <t>08121M1001430</t>
  </si>
  <si>
    <t>1992 02 24  (1992)</t>
  </si>
  <si>
    <t>DNR 342N</t>
  </si>
  <si>
    <t>FGL9126337447</t>
  </si>
  <si>
    <t>8414113</t>
  </si>
  <si>
    <t>1988 02 08  (1988)</t>
  </si>
  <si>
    <t>DKX 035N</t>
  </si>
  <si>
    <t>5655328</t>
  </si>
  <si>
    <t>SAPTR394</t>
  </si>
  <si>
    <t>1982 05 04  (1982)</t>
  </si>
  <si>
    <t>DLF 681N</t>
  </si>
  <si>
    <t>TOYOTA HINO TRUCK</t>
  </si>
  <si>
    <t>MBO1074SA040664P</t>
  </si>
  <si>
    <t>GDB12010034</t>
  </si>
  <si>
    <t>1998 01 13  (1998)</t>
  </si>
  <si>
    <t>DLG 108N</t>
  </si>
  <si>
    <t>334202</t>
  </si>
  <si>
    <t>S174109</t>
  </si>
  <si>
    <t>1982 04 26  (1982)</t>
  </si>
  <si>
    <t>DMS 574N</t>
  </si>
  <si>
    <t>MCO1021SA0211401</t>
  </si>
  <si>
    <t>22015</t>
  </si>
  <si>
    <t>1984 10 19  (1984)</t>
  </si>
  <si>
    <t>DMS 576N</t>
  </si>
  <si>
    <t>007772J</t>
  </si>
  <si>
    <t>FL455595</t>
  </si>
  <si>
    <t>1984 11 15  (1984)</t>
  </si>
  <si>
    <t>DKX 043N</t>
  </si>
  <si>
    <t>4D31B30508</t>
  </si>
  <si>
    <t>NR670076</t>
  </si>
  <si>
    <t>BCC 135N</t>
  </si>
  <si>
    <t>715343A</t>
  </si>
  <si>
    <t>437690</t>
  </si>
  <si>
    <t>1995 11 21  (1995)</t>
  </si>
  <si>
    <t>BCC 136N</t>
  </si>
  <si>
    <t>714644A</t>
  </si>
  <si>
    <t>437631</t>
  </si>
  <si>
    <t>BCC 137N</t>
  </si>
  <si>
    <t>702922A</t>
  </si>
  <si>
    <t>527134</t>
  </si>
  <si>
    <t>DLG 101N</t>
  </si>
  <si>
    <t>07Z15578</t>
  </si>
  <si>
    <t>61W0558</t>
  </si>
  <si>
    <t>1987 02 06  (1987)</t>
  </si>
  <si>
    <t>DLG 107N</t>
  </si>
  <si>
    <t>FORD COUNTY</t>
  </si>
  <si>
    <t>G562998</t>
  </si>
  <si>
    <t>BG57786</t>
  </si>
  <si>
    <t>DMS 578N</t>
  </si>
  <si>
    <t>7379229</t>
  </si>
  <si>
    <t>101400240231</t>
  </si>
  <si>
    <t>1987 11 10  (1987)</t>
  </si>
  <si>
    <t>DNR 336N</t>
  </si>
  <si>
    <t>DRESSER</t>
  </si>
  <si>
    <t>44271366</t>
  </si>
  <si>
    <t>SAG5521</t>
  </si>
  <si>
    <t>1989 01 05  (1989)</t>
  </si>
  <si>
    <t>DLV 326N</t>
  </si>
  <si>
    <t>RAMSOMES TRECTOR</t>
  </si>
  <si>
    <t>D95697265</t>
  </si>
  <si>
    <t>E1419</t>
  </si>
  <si>
    <t>1991  07 31  (1991)</t>
  </si>
  <si>
    <t>DBD 676N</t>
  </si>
  <si>
    <t>22R4155307</t>
  </si>
  <si>
    <t>AHT31RN6700006251</t>
  </si>
  <si>
    <t>1996 07 10  (1996)</t>
  </si>
  <si>
    <t>DGC 622N</t>
  </si>
  <si>
    <t>NISSAN 1400</t>
  </si>
  <si>
    <t>A14S194890F</t>
  </si>
  <si>
    <t>ADN4080000A417989</t>
  </si>
  <si>
    <t>1997 05 07  (1997)</t>
  </si>
  <si>
    <t>DGC 623N</t>
  </si>
  <si>
    <t>A14S196237F</t>
  </si>
  <si>
    <t>ADN4080000A419391</t>
  </si>
  <si>
    <t>DCG 466N</t>
  </si>
  <si>
    <t>TOYOTA CANTER</t>
  </si>
  <si>
    <t>4Y9115400</t>
  </si>
  <si>
    <t>AHT32YUM000000226</t>
  </si>
  <si>
    <t>1997 05 26  (1997)</t>
  </si>
  <si>
    <t>DDX 058N</t>
  </si>
  <si>
    <t>22R4208288</t>
  </si>
  <si>
    <t>AHT31RN6700008321</t>
  </si>
  <si>
    <t>1997 06 12  (1997)</t>
  </si>
  <si>
    <t>DDX 062N</t>
  </si>
  <si>
    <t>22R4209346</t>
  </si>
  <si>
    <t>AHT31RN06700008607</t>
  </si>
  <si>
    <t>DHC 017N</t>
  </si>
  <si>
    <t>MERCEDES BENZ PLATBAK</t>
  </si>
  <si>
    <t>MJ02033SA100918C</t>
  </si>
  <si>
    <t>ADB3973426004733</t>
  </si>
  <si>
    <t>1997 07 03  (1997)</t>
  </si>
  <si>
    <t>DHT 487N</t>
  </si>
  <si>
    <t>TOYOTA CAMERY</t>
  </si>
  <si>
    <t>SED</t>
  </si>
  <si>
    <t>5S4176796</t>
  </si>
  <si>
    <t>AHT53SK1009521778</t>
  </si>
  <si>
    <t>1997 09 16  (1997)</t>
  </si>
  <si>
    <t>DJH 087N</t>
  </si>
  <si>
    <t>598011W</t>
  </si>
  <si>
    <t>3CX4TSM406112</t>
  </si>
  <si>
    <t>1997 11 11  (1997)</t>
  </si>
  <si>
    <t>DLH 929N</t>
  </si>
  <si>
    <t>CITY GOLF 1.3</t>
  </si>
  <si>
    <t>GY141489</t>
  </si>
  <si>
    <t>AAVZZZ17ZWU007448</t>
  </si>
  <si>
    <t>1998 05 14  (1998)</t>
  </si>
  <si>
    <t>DLH 939N</t>
  </si>
  <si>
    <t>GY141285</t>
  </si>
  <si>
    <t>AAVZZZ17ZWU007065</t>
  </si>
  <si>
    <t>DLH 938N</t>
  </si>
  <si>
    <t>NISSAN CABSTAR</t>
  </si>
  <si>
    <t>FD46-010262</t>
  </si>
  <si>
    <t>ADN55200000000443</t>
  </si>
  <si>
    <t>1998 05 18  (1998)</t>
  </si>
  <si>
    <t>DPX 413N</t>
  </si>
  <si>
    <t>HYUNDAI</t>
  </si>
  <si>
    <t>D4BBW599267</t>
  </si>
  <si>
    <t>KMFXKN7BRXU205804</t>
  </si>
  <si>
    <t>1998 10 19  (1998)</t>
  </si>
  <si>
    <t>DRS 109N</t>
  </si>
  <si>
    <t>HYUNDAI LAW</t>
  </si>
  <si>
    <t>D4BBW590736</t>
  </si>
  <si>
    <t>KMFXKNYBRXU200594</t>
  </si>
  <si>
    <t>1999 01 04  (1999)</t>
  </si>
  <si>
    <t>DST 930N</t>
  </si>
  <si>
    <t xml:space="preserve">ISUZU KB </t>
  </si>
  <si>
    <t>20LE25001084</t>
  </si>
  <si>
    <t>ADMTFR29HAM888530</t>
  </si>
  <si>
    <t>1999 06 10  (1999)</t>
  </si>
  <si>
    <t>DST 931N</t>
  </si>
  <si>
    <t>ISUZU KB</t>
  </si>
  <si>
    <t>20LE25001203</t>
  </si>
  <si>
    <t>ADMTFR29HAM887479</t>
  </si>
  <si>
    <t>DST 933N</t>
  </si>
  <si>
    <t>20LE25000768</t>
  </si>
  <si>
    <t>ADMTFR29HAM874322</t>
  </si>
  <si>
    <t>DST 927N</t>
  </si>
  <si>
    <t>stores</t>
  </si>
  <si>
    <t>20LE25000987</t>
  </si>
  <si>
    <t>ADMTFR29HAM888528</t>
  </si>
  <si>
    <t>DSV 397N</t>
  </si>
  <si>
    <t>D4BBX708909</t>
  </si>
  <si>
    <t>KMFXKN7BRXU268899</t>
  </si>
  <si>
    <t>1999 06 15  (1999)</t>
  </si>
  <si>
    <t>DSV 395N</t>
  </si>
  <si>
    <t xml:space="preserve">HYUNDAI </t>
  </si>
  <si>
    <t>D4BBW692565</t>
  </si>
  <si>
    <t>KMFXKN7BRXU259215</t>
  </si>
  <si>
    <t>DSV 434N</t>
  </si>
  <si>
    <t>COLT 4X4</t>
  </si>
  <si>
    <t>4G64XR8614</t>
  </si>
  <si>
    <t>ABJK 73JNRWE007987</t>
  </si>
  <si>
    <t>1999 06 18  (1999)</t>
  </si>
  <si>
    <t>DSW 141N</t>
  </si>
  <si>
    <t>D4BBX709692</t>
  </si>
  <si>
    <t>KMFXKN7BRXU269507</t>
  </si>
  <si>
    <t>1999 06 25  (1999)</t>
  </si>
  <si>
    <t>DWD 351N</t>
  </si>
  <si>
    <t xml:space="preserve">NEW HOLLAND TRACTOR </t>
  </si>
  <si>
    <t>mdc</t>
  </si>
  <si>
    <t>206538756</t>
  </si>
  <si>
    <t>NH5556L0001166711</t>
  </si>
  <si>
    <t>2000 05 23  (2000)</t>
  </si>
  <si>
    <t>DWD 352N</t>
  </si>
  <si>
    <t>206542668</t>
  </si>
  <si>
    <t>NH5556L0001167480</t>
  </si>
  <si>
    <t>2000 05 24  (2000)</t>
  </si>
  <si>
    <t>DWD 401N</t>
  </si>
  <si>
    <t>4G64BN0009</t>
  </si>
  <si>
    <t>ABJK75ENRYE016558</t>
  </si>
  <si>
    <t>2002 05 25  (2002)</t>
  </si>
  <si>
    <t>DWD 688N</t>
  </si>
  <si>
    <t>4G64BN0011</t>
  </si>
  <si>
    <t>ABJK75ENRYE016555</t>
  </si>
  <si>
    <t>2000 05 29  (2000)</t>
  </si>
  <si>
    <t>DWD 690N</t>
  </si>
  <si>
    <t>4G64BN0068</t>
  </si>
  <si>
    <t>ABJK75ENRYE016560</t>
  </si>
  <si>
    <t>DWF 166N</t>
  </si>
  <si>
    <t>TOYOTA DYNA</t>
  </si>
  <si>
    <t>5L4902182</t>
  </si>
  <si>
    <t>JT731LYM209996347</t>
  </si>
  <si>
    <t>2000 05 31   (2000)</t>
  </si>
  <si>
    <t>DWF 168N</t>
  </si>
  <si>
    <t>5L4856873</t>
  </si>
  <si>
    <t>JT731LYM209996179</t>
  </si>
  <si>
    <t>2000 05 31  (2000)</t>
  </si>
  <si>
    <t>DWF 408N</t>
  </si>
  <si>
    <t>4JA1702719</t>
  </si>
  <si>
    <t>ADMTFR54HTM928452</t>
  </si>
  <si>
    <t>2000 06 05  (2000)</t>
  </si>
  <si>
    <t>DWF 409N</t>
  </si>
  <si>
    <t>A4JA1686949</t>
  </si>
  <si>
    <t>ADMTFR54HTM929963</t>
  </si>
  <si>
    <t>DWF 413N</t>
  </si>
  <si>
    <t>4JA1687033</t>
  </si>
  <si>
    <t>ADMTFR54HTM930859</t>
  </si>
  <si>
    <t>DWF 415N</t>
  </si>
  <si>
    <t>4JA1686909</t>
  </si>
  <si>
    <t>ADMTFR54HTM929962</t>
  </si>
  <si>
    <t>2000 06 02   (2000)</t>
  </si>
  <si>
    <t>DWF 416N</t>
  </si>
  <si>
    <t>4JA1686857</t>
  </si>
  <si>
    <t>ADMTFR54HTM930134</t>
  </si>
  <si>
    <t>DWG 231N</t>
  </si>
  <si>
    <t>MAZDA 323</t>
  </si>
  <si>
    <t>3B89001</t>
  </si>
  <si>
    <t>AFAVXDL41VR327659</t>
  </si>
  <si>
    <t>2000 06 12  (2000)</t>
  </si>
  <si>
    <t>DWG 232N</t>
  </si>
  <si>
    <t>3B87656</t>
  </si>
  <si>
    <t>AFAVXDL41VR324483</t>
  </si>
  <si>
    <t>DWF 970N</t>
  </si>
  <si>
    <t>4G64BN0025</t>
  </si>
  <si>
    <t>ABJK75ENRYE016556</t>
  </si>
  <si>
    <t>2000 06 09  (2000)</t>
  </si>
  <si>
    <t>DWF 971N</t>
  </si>
  <si>
    <t>4G64BN0010</t>
  </si>
  <si>
    <t>ABJK75ENRYE016449</t>
  </si>
  <si>
    <t>DWF 974N</t>
  </si>
  <si>
    <t>AG64BN0008</t>
  </si>
  <si>
    <t>ABJK75ENRYE016557</t>
  </si>
  <si>
    <t>2000 06 09 (2000)</t>
  </si>
  <si>
    <t>DWG 865N</t>
  </si>
  <si>
    <t>ISUZU TIPTROK</t>
  </si>
  <si>
    <t>6HH1291101</t>
  </si>
  <si>
    <t>ADMFTR33MXZ933933</t>
  </si>
  <si>
    <t>2000 06 08  (2000)</t>
  </si>
  <si>
    <t>DWG 864N</t>
  </si>
  <si>
    <t>ISUZU TIPPER</t>
  </si>
  <si>
    <t>11111L94</t>
  </si>
  <si>
    <t>ADMNR70RSXZ931847</t>
  </si>
  <si>
    <t>DWG 863N</t>
  </si>
  <si>
    <t>11111M04</t>
  </si>
  <si>
    <t>ADMNR70RSXZ931846</t>
  </si>
  <si>
    <t>DXV 047N</t>
  </si>
  <si>
    <t>FLAT DECK TRAILER (SPIDER)</t>
  </si>
  <si>
    <t>AAPV0450160284240</t>
  </si>
  <si>
    <t>2001 03 20  (2001)</t>
  </si>
  <si>
    <t>DSR 624N</t>
  </si>
  <si>
    <t>TOYOTA SWB TIPPER</t>
  </si>
  <si>
    <t>MBO1012SA088814P</t>
  </si>
  <si>
    <t>ODA107905</t>
  </si>
  <si>
    <t>1999 05 13  (1998)</t>
  </si>
  <si>
    <t>DSG 453N</t>
  </si>
  <si>
    <t>HINO</t>
  </si>
  <si>
    <t>MBO1057SA010593K</t>
  </si>
  <si>
    <t>FBD16010046</t>
  </si>
  <si>
    <t>1999 03 19  (1998)</t>
  </si>
  <si>
    <t>DWF 195N</t>
  </si>
  <si>
    <t>TOYOTA SEDAN 1300</t>
  </si>
  <si>
    <t>VO260257958</t>
  </si>
  <si>
    <t>EE909832053</t>
  </si>
  <si>
    <t>2000 05 31  (1997)</t>
  </si>
  <si>
    <t>DRS 056N</t>
  </si>
  <si>
    <t>F8512042</t>
  </si>
  <si>
    <t>TBDNL0105TR076891</t>
  </si>
  <si>
    <t>1996 01 01  (1996)</t>
  </si>
  <si>
    <t>DSB 410N</t>
  </si>
  <si>
    <t>VW JETTA</t>
  </si>
  <si>
    <t>HV102480</t>
  </si>
  <si>
    <t>AAVZZZ16ZMU009338</t>
  </si>
  <si>
    <t>1999 02 19  (1995)</t>
  </si>
  <si>
    <t>DRS 628N</t>
  </si>
  <si>
    <t>ISUZU KB20</t>
  </si>
  <si>
    <t>392422</t>
  </si>
  <si>
    <t>ADMTFR12HAM673041</t>
  </si>
  <si>
    <t>1995 01 01  (1995)</t>
  </si>
  <si>
    <t>GAZ2-7189</t>
  </si>
  <si>
    <t xml:space="preserve">JCB 420 </t>
  </si>
  <si>
    <t>DST 958N</t>
  </si>
  <si>
    <t>NISSAN SENTRA</t>
  </si>
  <si>
    <t>GA16699998B</t>
  </si>
  <si>
    <t>ADND050000L020128</t>
  </si>
  <si>
    <t>1996 04 26  (1996)</t>
  </si>
  <si>
    <t>DRX 254N</t>
  </si>
  <si>
    <t>2Y9025590</t>
  </si>
  <si>
    <t>YN510016911</t>
  </si>
  <si>
    <t>1999 01 27  (1997)</t>
  </si>
  <si>
    <t>DTY 066N</t>
  </si>
  <si>
    <t>TOYOTA TIPPER</t>
  </si>
  <si>
    <t>3521880502</t>
  </si>
  <si>
    <t>ODA116107121</t>
  </si>
  <si>
    <t>1999 12 03  (1997)</t>
  </si>
  <si>
    <t>DWW 564N</t>
  </si>
  <si>
    <t>4G64YR2655</t>
  </si>
  <si>
    <t>ABJK73JNRWE010005</t>
  </si>
  <si>
    <t>2000 10 05  (2000)</t>
  </si>
  <si>
    <t>DLL 429N</t>
  </si>
  <si>
    <t>LPM 027A</t>
  </si>
  <si>
    <t>1995 02 06  (1995)</t>
  </si>
  <si>
    <t>DLL 428N</t>
  </si>
  <si>
    <t>90C4436</t>
  </si>
  <si>
    <t>1990 06 20  (1990)</t>
  </si>
  <si>
    <t>FCB 596N</t>
  </si>
  <si>
    <t>FORD RANGER 2.5D</t>
  </si>
  <si>
    <t>WLAT 302559</t>
  </si>
  <si>
    <t>AFAADGH02AR457301</t>
  </si>
  <si>
    <t>2002 06 28  (2002)</t>
  </si>
  <si>
    <t>FCB 598N</t>
  </si>
  <si>
    <t>WLAT 301309</t>
  </si>
  <si>
    <t>AFAADGH02AR456821</t>
  </si>
  <si>
    <t>FCB 608N</t>
  </si>
  <si>
    <t>FORD RANGER  2.5D</t>
  </si>
  <si>
    <t>WLAT301354</t>
  </si>
  <si>
    <t>AFAADGH02AR446359</t>
  </si>
  <si>
    <t>FCB 604N</t>
  </si>
  <si>
    <t>WLAT301375</t>
  </si>
  <si>
    <t>FAAADGH02AR457298</t>
  </si>
  <si>
    <t>FCB 603N</t>
  </si>
  <si>
    <t>WLAT 301353</t>
  </si>
  <si>
    <t>AFAADGH02AR457300</t>
  </si>
  <si>
    <t>FCB 611N</t>
  </si>
  <si>
    <t>MAZDA 1300</t>
  </si>
  <si>
    <t>3B122434</t>
  </si>
  <si>
    <t>AFAVXDL41VR450742</t>
  </si>
  <si>
    <t>FCB 593N</t>
  </si>
  <si>
    <t>3B122469</t>
  </si>
  <si>
    <t>AFAVXD41VR450740</t>
  </si>
  <si>
    <t>FCH 977N</t>
  </si>
  <si>
    <t>MAZDA 2.6 4X4</t>
  </si>
  <si>
    <t>G6303488</t>
  </si>
  <si>
    <t>AFAABHD02AR463375</t>
  </si>
  <si>
    <t>2002 08 14  (2002)</t>
  </si>
  <si>
    <t>FCH 971N</t>
  </si>
  <si>
    <t>G6303391</t>
  </si>
  <si>
    <t>AFAABHD02AR463379</t>
  </si>
  <si>
    <t>FCH 972N</t>
  </si>
  <si>
    <t>G6303396</t>
  </si>
  <si>
    <t>AFAABHDO2AR463378</t>
  </si>
  <si>
    <t xml:space="preserve">FCH 973N </t>
  </si>
  <si>
    <t>G6303482</t>
  </si>
  <si>
    <t>AFAABHDO2AR463374</t>
  </si>
  <si>
    <t>BC 2025</t>
  </si>
  <si>
    <t>BC 3890</t>
  </si>
  <si>
    <t>BC 2019</t>
  </si>
  <si>
    <t>BC 4085</t>
  </si>
  <si>
    <t>DNM 128N</t>
  </si>
  <si>
    <t>FORD FMC FIRE TRUCK</t>
  </si>
  <si>
    <t>fire</t>
  </si>
  <si>
    <t>ML93507SA06564X</t>
  </si>
  <si>
    <t>C70KVJJ5498</t>
  </si>
  <si>
    <t xml:space="preserve">1981 08 14  (1981) </t>
  </si>
  <si>
    <t>DLP 573N</t>
  </si>
  <si>
    <t xml:space="preserve">TOYOTA HILUX </t>
  </si>
  <si>
    <t>3Y0360720</t>
  </si>
  <si>
    <t>YN655003908</t>
  </si>
  <si>
    <t>1985 10 23  (1985)</t>
  </si>
  <si>
    <t xml:space="preserve">DNM 609N </t>
  </si>
  <si>
    <t xml:space="preserve">FORD </t>
  </si>
  <si>
    <t>AC5D00505</t>
  </si>
  <si>
    <t>NR534564</t>
  </si>
  <si>
    <t>DBS 223N</t>
  </si>
  <si>
    <t>243084</t>
  </si>
  <si>
    <t>ADMTFR54DAM73418</t>
  </si>
  <si>
    <t>2000 09 01  (1996)</t>
  </si>
  <si>
    <t>DBR 700N</t>
  </si>
  <si>
    <t>243076</t>
  </si>
  <si>
    <t>ADMTFR54DAM731715</t>
  </si>
  <si>
    <t>1996 05 23  (1996)</t>
  </si>
  <si>
    <t>DHN 457N</t>
  </si>
  <si>
    <t>K6070340</t>
  </si>
  <si>
    <t>NKP2BKW450696</t>
  </si>
  <si>
    <t>1997 07 18  (1997)</t>
  </si>
  <si>
    <t>DGP 620N</t>
  </si>
  <si>
    <t>TRAILOR  GLADIATOR</t>
  </si>
  <si>
    <t>SP300996</t>
  </si>
  <si>
    <t>1996 09 30  (1996)</t>
  </si>
  <si>
    <t>DKN 020N</t>
  </si>
  <si>
    <t>FRIGHT LINER</t>
  </si>
  <si>
    <t>45017422</t>
  </si>
  <si>
    <t>V23FBA6RL606773</t>
  </si>
  <si>
    <t>1994 09 27  (1994)</t>
  </si>
  <si>
    <t>DNM 608N</t>
  </si>
  <si>
    <t>FORD FIRE TRUCK</t>
  </si>
  <si>
    <t>1984 08 28  (1976)</t>
  </si>
  <si>
    <t>DRC 287N</t>
  </si>
  <si>
    <t>E13S064292D</t>
  </si>
  <si>
    <t>H055905</t>
  </si>
  <si>
    <t>1991 11 07  (1991)</t>
  </si>
  <si>
    <t>DMC 038N</t>
  </si>
  <si>
    <t>598507091</t>
  </si>
  <si>
    <t>1985 07 11  (1985)</t>
  </si>
  <si>
    <t>DMC 039N</t>
  </si>
  <si>
    <t>5988031001</t>
  </si>
  <si>
    <t>1988 03 10  (1988)</t>
  </si>
  <si>
    <t>DKR 172N</t>
  </si>
  <si>
    <t>4Y0150091</t>
  </si>
  <si>
    <t>YN679004330</t>
  </si>
  <si>
    <t>1987 09 18  (1987)</t>
  </si>
  <si>
    <t>DHL 604N</t>
  </si>
  <si>
    <t>KARET TRAILOR</t>
  </si>
  <si>
    <t>400A12V185E</t>
  </si>
  <si>
    <t>1994 01 20  (1994)</t>
  </si>
  <si>
    <t>DZS 030N</t>
  </si>
  <si>
    <t>NISSAN AMBULANCE</t>
  </si>
  <si>
    <t>L185277739R</t>
  </si>
  <si>
    <t>N4330000JO46586</t>
  </si>
  <si>
    <t>FHX 724N</t>
  </si>
  <si>
    <t>NISSAN UD 70</t>
  </si>
  <si>
    <t xml:space="preserve">MERCEDES BENZ ML350CDI </t>
  </si>
  <si>
    <t>mayor</t>
  </si>
  <si>
    <t>64282041105280</t>
  </si>
  <si>
    <t>WDC1641252A717978</t>
  </si>
  <si>
    <t>2011 09 [2011]</t>
  </si>
  <si>
    <t>DMN 832N</t>
  </si>
  <si>
    <t>NISSAN 1 TON</t>
  </si>
  <si>
    <t>NA20017766W</t>
  </si>
  <si>
    <t>ADNB0700JO54695J</t>
  </si>
  <si>
    <t>1999 03 15  (1999)</t>
  </si>
  <si>
    <t>DJZ 171N</t>
  </si>
  <si>
    <t>INTERKLAT TRECKTOR</t>
  </si>
  <si>
    <t>21351</t>
  </si>
  <si>
    <t>12658</t>
  </si>
  <si>
    <t>1999 04 05  (1979)</t>
  </si>
  <si>
    <t>DJZ 168N</t>
  </si>
  <si>
    <t>26812D019537</t>
  </si>
  <si>
    <t>B4486LJ4EDU11</t>
  </si>
  <si>
    <t>DJZ 169N</t>
  </si>
  <si>
    <t>A145143069E</t>
  </si>
  <si>
    <t>A956732</t>
  </si>
  <si>
    <t>1983 11 27  (1983)</t>
  </si>
  <si>
    <t>DJY 947N</t>
  </si>
  <si>
    <t>FE832195</t>
  </si>
  <si>
    <t>NR468536</t>
  </si>
  <si>
    <t>1991 06 25  (1991)</t>
  </si>
  <si>
    <t>DJY 946N</t>
  </si>
  <si>
    <t>SLM 10593</t>
  </si>
  <si>
    <t>1995 02 26 (1995)</t>
  </si>
  <si>
    <t>DSD 183N</t>
  </si>
  <si>
    <t xml:space="preserve">NISSAN </t>
  </si>
  <si>
    <t>NA20800831X</t>
  </si>
  <si>
    <t>ADNB07000J054699J</t>
  </si>
  <si>
    <t>1996 04 25  (1996)</t>
  </si>
  <si>
    <t>DSD 186N</t>
  </si>
  <si>
    <t>OPEL ASTRA</t>
  </si>
  <si>
    <t>16NZ02CB8572</t>
  </si>
  <si>
    <t>ADMRM19016U688256</t>
  </si>
  <si>
    <t>DZF 646N</t>
  </si>
  <si>
    <t>804506206482608</t>
  </si>
  <si>
    <t>NW7056L0001151703</t>
  </si>
  <si>
    <t>2001  08  __  (2001)</t>
  </si>
  <si>
    <t xml:space="preserve">DBN 690N </t>
  </si>
  <si>
    <t>MAZDA B 2000</t>
  </si>
  <si>
    <t>FE792654</t>
  </si>
  <si>
    <t>NR 440006</t>
  </si>
  <si>
    <t>DJZ 170N</t>
  </si>
  <si>
    <t>UNIGRADER</t>
  </si>
  <si>
    <t>LPP495A</t>
  </si>
  <si>
    <t>1980 02 10  (1980)</t>
  </si>
  <si>
    <t>NISSAN DIESEL UD 80 A</t>
  </si>
  <si>
    <t>FE6211266B</t>
  </si>
  <si>
    <t>ADDT6700000007279</t>
  </si>
  <si>
    <t>2008 06 [2008]</t>
  </si>
  <si>
    <t>FE6211349B</t>
  </si>
  <si>
    <t>ADDT6700000007367</t>
  </si>
  <si>
    <t>2008 07 [2008]</t>
  </si>
  <si>
    <t>FE6211345B</t>
  </si>
  <si>
    <t>ADDT6700000007368</t>
  </si>
  <si>
    <t>FE6211343B</t>
  </si>
  <si>
    <t>ADDT6700000007369</t>
  </si>
  <si>
    <t>2008 08 [2008]</t>
  </si>
  <si>
    <t>FE6211350B</t>
  </si>
  <si>
    <t>ADDT6700000007366</t>
  </si>
  <si>
    <t>2008 09 [2008]</t>
  </si>
  <si>
    <t>FE6211401B</t>
  </si>
  <si>
    <t>ADDT6700000007427</t>
  </si>
  <si>
    <t>NISSAN DIESEL UD 90 A</t>
  </si>
  <si>
    <t>FE6228014C</t>
  </si>
  <si>
    <t>ADDT6800000008633</t>
  </si>
  <si>
    <t>2009 08 [2009]</t>
  </si>
  <si>
    <t>BNZ 604 L</t>
  </si>
  <si>
    <t>NISSAN DIESEL UD 85 A</t>
  </si>
  <si>
    <t>FE6212593B</t>
  </si>
  <si>
    <t>ADDT6600000008525</t>
  </si>
  <si>
    <t>BYV 520 L</t>
  </si>
  <si>
    <t>FE6228017C</t>
  </si>
  <si>
    <t>ADDT6800000008632</t>
  </si>
  <si>
    <t>CATERPILLAR GRADER</t>
  </si>
  <si>
    <t>10Z54193</t>
  </si>
  <si>
    <t>CAT0140HPXZH02160</t>
  </si>
  <si>
    <t>2011 11 [2011]</t>
  </si>
  <si>
    <t>10Z53904</t>
  </si>
  <si>
    <t>CAT0140HJXZH02176</t>
  </si>
  <si>
    <t>CNG 476 L</t>
  </si>
  <si>
    <t>CNG 464 L</t>
  </si>
  <si>
    <t>CNG 468 L</t>
  </si>
  <si>
    <t>CNG 480 L</t>
  </si>
  <si>
    <t>CNN 494 L</t>
  </si>
  <si>
    <t>CNK 299 L</t>
  </si>
  <si>
    <t>CNV 683 L</t>
  </si>
  <si>
    <t>CNN 483 L</t>
  </si>
  <si>
    <t>CNK 296 L</t>
  </si>
  <si>
    <t>CNK 292 L</t>
  </si>
  <si>
    <t>CNV 357 L</t>
  </si>
  <si>
    <t>CNT 192 L</t>
  </si>
  <si>
    <t>58024</t>
  </si>
  <si>
    <t>58026</t>
  </si>
  <si>
    <t xml:space="preserve"> </t>
  </si>
  <si>
    <t>CPR 551L</t>
  </si>
  <si>
    <t>CPP 523 L</t>
  </si>
  <si>
    <t>services</t>
  </si>
  <si>
    <t>014/066/1222</t>
  </si>
  <si>
    <t>MAYOR</t>
  </si>
  <si>
    <t>037-068-1231</t>
  </si>
  <si>
    <t>VEH</t>
  </si>
  <si>
    <t>TASK</t>
  </si>
  <si>
    <t>ELEM</t>
  </si>
  <si>
    <t>VEHICLE BUDGET 2014-2015</t>
  </si>
  <si>
    <t>FORD RANGER</t>
  </si>
  <si>
    <t>DCN 723 L</t>
  </si>
  <si>
    <t>v0190</t>
  </si>
  <si>
    <t>037-056-1043</t>
  </si>
  <si>
    <t>DDC 662 L</t>
  </si>
  <si>
    <t>TRACKING DEVICE</t>
  </si>
  <si>
    <t>ISUZU KB200i 2x4 [036]</t>
  </si>
  <si>
    <t>036</t>
  </si>
  <si>
    <t>NISSAN   NP 300 4X4 [173]</t>
  </si>
  <si>
    <t>FBY 141 L</t>
  </si>
  <si>
    <t>FBY 144 L</t>
  </si>
  <si>
    <t>FBY 146 L</t>
  </si>
  <si>
    <t>FBY 151 L</t>
  </si>
  <si>
    <t>FBY 155 L</t>
  </si>
  <si>
    <t>VEHICLE BUDGET 2021-2022</t>
  </si>
  <si>
    <t>DMY 716 L</t>
  </si>
  <si>
    <t>DMY 716 L [063]</t>
  </si>
  <si>
    <t>W/O</t>
  </si>
  <si>
    <t>FDW 321 L</t>
  </si>
  <si>
    <t>FDW 326 L</t>
  </si>
  <si>
    <t>FDW 448 L</t>
  </si>
  <si>
    <t>FDX 372 L</t>
  </si>
  <si>
    <t>BELL Motor Grader</t>
  </si>
  <si>
    <t>FNY 389 L</t>
  </si>
  <si>
    <t>MASSEY FERGUSON DLG 104 N</t>
  </si>
  <si>
    <t>DMY 782 L [063]</t>
  </si>
  <si>
    <t>FORD TRACTOR DLV 293 N</t>
  </si>
  <si>
    <t>DMY 792 L</t>
  </si>
  <si>
    <t>DMY 731 L</t>
  </si>
  <si>
    <t>NEW HOLLAND DWD352N</t>
  </si>
  <si>
    <t>FORD TRACTOR BGC439N</t>
  </si>
  <si>
    <t>DMY 713 L</t>
  </si>
  <si>
    <t>NEW HOLLAND DZF646N</t>
  </si>
  <si>
    <t>DMY 736 L</t>
  </si>
  <si>
    <t>FNP 877 L</t>
  </si>
  <si>
    <t>BZN 610 L</t>
  </si>
  <si>
    <t>HERSOFAM DNR343N</t>
  </si>
  <si>
    <t>ATLAS COMPR DNK346L</t>
  </si>
  <si>
    <t>DMY 766 L</t>
  </si>
  <si>
    <t>GALLION DKX035N</t>
  </si>
  <si>
    <t>DPR 373 L</t>
  </si>
  <si>
    <t>WINGET DUMPER DLG106N</t>
  </si>
  <si>
    <t>DMY 829 L</t>
  </si>
  <si>
    <t>FLEXIAN TRAILER DNB886N</t>
  </si>
  <si>
    <t>DMY 831 L</t>
  </si>
  <si>
    <t>DKN 794 L [105]</t>
  </si>
  <si>
    <t>Total Insurance</t>
  </si>
  <si>
    <t>FRK 231 L</t>
  </si>
  <si>
    <t>Test Station Trailer</t>
  </si>
  <si>
    <t>UD Truck horse</t>
  </si>
  <si>
    <t>Hino 500</t>
  </si>
  <si>
    <t>FRK 226 L</t>
  </si>
  <si>
    <t xml:space="preserve">    </t>
  </si>
  <si>
    <t>V0200</t>
  </si>
  <si>
    <t>Generators</t>
  </si>
  <si>
    <t>Goerges Val Purification work</t>
  </si>
  <si>
    <t xml:space="preserve">Tzaneen Purification </t>
  </si>
  <si>
    <t>Saagmeul</t>
  </si>
  <si>
    <t>Letstele</t>
  </si>
  <si>
    <t>TZN sewerplant</t>
  </si>
  <si>
    <t>Generator Hoof gebou</t>
  </si>
  <si>
    <t>Nuwe Voertuie</t>
  </si>
  <si>
    <t>POLE TRAILER DKX038N</t>
  </si>
  <si>
    <t>DMY 811 L [063]</t>
  </si>
  <si>
    <t>JCB  DJH087N</t>
  </si>
  <si>
    <t>DMY 721 L</t>
  </si>
  <si>
    <t>NEW HOLLAND DWD351N</t>
  </si>
  <si>
    <t>DMY 724 L</t>
  </si>
  <si>
    <t>FLAT DECK - SPIDER DXV047N</t>
  </si>
  <si>
    <t>DMY 705 L</t>
  </si>
  <si>
    <t>DMY 735 L</t>
  </si>
  <si>
    <t xml:space="preserve"> Venter TRAILER DJY496N</t>
  </si>
  <si>
    <t>JCB Autiond Nov 2023 BCC135N</t>
  </si>
  <si>
    <t>DMP 673 L</t>
  </si>
  <si>
    <t>JCB Auctioned Nov 2023 BCC136N</t>
  </si>
  <si>
    <t>DMP 676 L</t>
  </si>
  <si>
    <t>JCB Auctioned Nov 2023 BCC137N</t>
  </si>
  <si>
    <t>DMY 861 L</t>
  </si>
  <si>
    <t>FORD TRACTOR DLG112N</t>
  </si>
  <si>
    <t>DMY 779 L</t>
  </si>
  <si>
    <t>POLE TRAILER DLV291N</t>
  </si>
  <si>
    <t>DMY 814 L</t>
  </si>
  <si>
    <t>POLE TRAILER DKX039N</t>
  </si>
  <si>
    <t>DMY 808 L</t>
  </si>
  <si>
    <t xml:space="preserve"> HERSOFAM DNR351N</t>
  </si>
  <si>
    <t>DMY 758 L</t>
  </si>
  <si>
    <t>WATERTANKER DNR343N</t>
  </si>
  <si>
    <t>DMY 815 L</t>
  </si>
  <si>
    <t>FERGUSON TRAILER DKN793N</t>
  </si>
  <si>
    <t>DMY 797 L</t>
  </si>
  <si>
    <t>BOMAG TRAILER DNB899N</t>
  </si>
  <si>
    <t>DRG 008 L</t>
  </si>
  <si>
    <t>WRIGHT 120G Auctioned Nov 2022 DLG101N</t>
  </si>
  <si>
    <t>DMY 864 L</t>
  </si>
  <si>
    <t>DMY 770 L</t>
  </si>
  <si>
    <t>TRAILER DLF731N</t>
  </si>
  <si>
    <t>DRP 368 L</t>
  </si>
  <si>
    <t>TRAILER BAKRAK DLG098N</t>
  </si>
  <si>
    <t>ATLAS COPCO DNB889N</t>
  </si>
  <si>
    <t>DMY 821 L</t>
  </si>
  <si>
    <t>BOMAG DMS578N</t>
  </si>
  <si>
    <t>HERSOFAM DNB893N</t>
  </si>
  <si>
    <t>DMY 773 L</t>
  </si>
  <si>
    <t>LAWNMOWER TRAIL DMS582N</t>
  </si>
  <si>
    <t>DMY 820 L</t>
  </si>
  <si>
    <t>VERMEER 620 BC DNP901N</t>
  </si>
  <si>
    <t>DTL 421 L</t>
  </si>
  <si>
    <t>DMY 822 L</t>
  </si>
  <si>
    <t>VENTER ELITE DLV309N</t>
  </si>
  <si>
    <t>DMY 774 L</t>
  </si>
  <si>
    <t>VENTER TRAILER DLV304N</t>
  </si>
  <si>
    <t>DMY 775 L</t>
  </si>
  <si>
    <t>increase Licence</t>
  </si>
  <si>
    <t>Generral increase treasury.</t>
  </si>
  <si>
    <t>Eskaltion tracking device</t>
  </si>
  <si>
    <t>VEHICLE BUDGET 2024-2025</t>
  </si>
  <si>
    <t>HDP 509 L</t>
  </si>
  <si>
    <t>HDP 506 L</t>
  </si>
  <si>
    <t>KomatsuGrader</t>
  </si>
  <si>
    <t>Toyota Land Cruiser</t>
  </si>
  <si>
    <t>FZP 282 L</t>
  </si>
  <si>
    <t>FZP 278 L</t>
  </si>
  <si>
    <t>FORTUNER</t>
  </si>
  <si>
    <t>FYV 164 L</t>
  </si>
  <si>
    <t>FYR 284 L</t>
  </si>
  <si>
    <t>VOLKSWAGEN</t>
  </si>
  <si>
    <t>FZL 973 L</t>
  </si>
  <si>
    <t>HDH 837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</si>
</sst>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 * #,##0.00_ ;_ * \-#,##0.00_ ;_ * &quot;-&quot;??_ ;_ @_ "/>
    <numFmt numFmtId="165" formatCode="0_);\(0\)"/>
    <numFmt numFmtId="166" formatCode="#,##0.00_ ;[Red]\-#,##0.00\ "/>
    <numFmt numFmtId="167" formatCode="#,##0;[Red]#,##0"/>
    <numFmt numFmtId="168" formatCode="_(* #,##0_);_(* \(#,##0\);_(* &quot;-&quot;??_);_(@_)"/>
    <numFmt numFmtId="169" formatCode="#,##0_ ;\-#,##0\ "/>
    <numFmt numFmtId="170" formatCode="&quot;R&quot;\ #,##0.00"/>
  </numFmts>
  <fonts count="42" x14ac:knownFonts="1">
    <font>
      <sz val="10"/>
      <name val="Arial"/>
    </font>
    <font>
      <sz val="10"/>
      <name val="Arial"/>
      <family val="2"/>
    </font>
    <font>
      <b/>
      <u/>
      <sz val="8"/>
      <name val="Consolas"/>
      <family val="3"/>
    </font>
    <font>
      <sz val="8"/>
      <name val="Consolas"/>
      <family val="3"/>
    </font>
    <font>
      <b/>
      <sz val="8"/>
      <name val="Consolas"/>
      <family val="3"/>
    </font>
    <font>
      <sz val="8"/>
      <color indexed="12"/>
      <name val="Consolas"/>
      <family val="3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00"/>
      <name val="Consolas"/>
      <family val="3"/>
    </font>
    <font>
      <b/>
      <sz val="8"/>
      <name val="Calibri"/>
      <family val="2"/>
    </font>
    <font>
      <b/>
      <sz val="7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8"/>
      <name val="Agency FB"/>
      <family val="2"/>
    </font>
    <font>
      <sz val="6"/>
      <name val="Consolas"/>
      <family val="3"/>
    </font>
    <font>
      <sz val="8"/>
      <color theme="1"/>
      <name val="Consolas"/>
      <family val="3"/>
    </font>
    <font>
      <b/>
      <sz val="9"/>
      <color theme="1"/>
      <name val="Consolas"/>
      <family val="3"/>
    </font>
    <font>
      <b/>
      <sz val="9"/>
      <name val="Consolas"/>
      <family val="3"/>
    </font>
    <font>
      <sz val="9"/>
      <color theme="1"/>
      <name val="Consolas"/>
      <family val="3"/>
    </font>
    <font>
      <sz val="9"/>
      <name val="Consolas"/>
      <family val="3"/>
    </font>
    <font>
      <sz val="7"/>
      <name val="Consolas"/>
      <family val="3"/>
    </font>
    <font>
      <b/>
      <sz val="7"/>
      <name val="Consolas"/>
      <family val="3"/>
    </font>
    <font>
      <u/>
      <sz val="10"/>
      <color indexed="12"/>
      <name val="Arial"/>
      <family val="2"/>
    </font>
    <font>
      <u/>
      <sz val="8"/>
      <color indexed="12"/>
      <name val="Consolas"/>
      <family val="3"/>
    </font>
    <font>
      <sz val="8"/>
      <color rgb="FFFF0000"/>
      <name val="Consolas"/>
      <family val="3"/>
    </font>
    <font>
      <sz val="10"/>
      <name val="Dotum"/>
      <family val="2"/>
    </font>
    <font>
      <b/>
      <i/>
      <u/>
      <sz val="10"/>
      <name val="Dotum"/>
      <family val="2"/>
    </font>
    <font>
      <sz val="10"/>
      <color theme="1"/>
      <name val="Dotum"/>
      <family val="2"/>
    </font>
    <font>
      <b/>
      <u/>
      <sz val="12"/>
      <name val="Consolas"/>
      <family val="3"/>
    </font>
    <font>
      <sz val="12"/>
      <name val="Consolas"/>
      <family val="3"/>
    </font>
    <font>
      <b/>
      <sz val="12"/>
      <name val="Consolas"/>
      <family val="3"/>
    </font>
    <font>
      <b/>
      <sz val="12"/>
      <color theme="0" tint="-0.34998626667073579"/>
      <name val="Consolas"/>
      <family val="3"/>
    </font>
    <font>
      <sz val="12"/>
      <color theme="0" tint="-0.34998626667073579"/>
      <name val="Consolas"/>
      <family val="3"/>
    </font>
    <font>
      <b/>
      <sz val="12"/>
      <color theme="0" tint="-0.249977111117893"/>
      <name val="Consolas"/>
      <family val="3"/>
    </font>
    <font>
      <sz val="12"/>
      <color theme="0" tint="-0.249977111117893"/>
      <name val="Consolas"/>
      <family val="3"/>
    </font>
    <font>
      <b/>
      <u/>
      <sz val="10"/>
      <name val="Consolas"/>
      <family val="3"/>
    </font>
    <font>
      <sz val="10"/>
      <name val="Consolas"/>
      <family val="3"/>
    </font>
    <font>
      <b/>
      <sz val="10"/>
      <name val="Consolas"/>
      <family val="3"/>
    </font>
    <font>
      <sz val="10"/>
      <color theme="0" tint="-0.34998626667073579"/>
      <name val="Consolas"/>
      <family val="3"/>
    </font>
    <font>
      <sz val="10"/>
      <color theme="0" tint="-0.249977111117893"/>
      <name val="Consolas"/>
      <family val="3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5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3" fillId="0" borderId="0" xfId="0" applyFont="1" applyAlignment="1">
      <alignment horizontal="center"/>
    </xf>
    <xf numFmtId="43" fontId="3" fillId="0" borderId="0" xfId="1" applyFont="1" applyFill="1" applyBorder="1"/>
    <xf numFmtId="167" fontId="3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1" xfId="0" applyFont="1" applyBorder="1"/>
    <xf numFmtId="43" fontId="3" fillId="0" borderId="1" xfId="1" applyFont="1" applyBorder="1"/>
    <xf numFmtId="43" fontId="4" fillId="0" borderId="1" xfId="1" applyFont="1" applyBorder="1"/>
    <xf numFmtId="43" fontId="3" fillId="0" borderId="0" xfId="1" applyFont="1"/>
    <xf numFmtId="167" fontId="4" fillId="0" borderId="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0" xfId="1" applyFont="1" applyBorder="1"/>
    <xf numFmtId="43" fontId="3" fillId="0" borderId="0" xfId="1" applyFont="1" applyBorder="1" applyAlignment="1">
      <alignment horizontal="center"/>
    </xf>
    <xf numFmtId="43" fontId="4" fillId="0" borderId="0" xfId="1" applyFont="1" applyFill="1" applyBorder="1"/>
    <xf numFmtId="0" fontId="4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64" fontId="3" fillId="0" borderId="0" xfId="0" applyNumberFormat="1" applyFont="1"/>
    <xf numFmtId="43" fontId="3" fillId="0" borderId="0" xfId="1" applyFont="1" applyAlignment="1">
      <alignment horizontal="center"/>
    </xf>
    <xf numFmtId="43" fontId="3" fillId="0" borderId="1" xfId="1" quotePrefix="1" applyFont="1" applyBorder="1"/>
    <xf numFmtId="43" fontId="3" fillId="0" borderId="8" xfId="1" applyFont="1" applyBorder="1"/>
    <xf numFmtId="43" fontId="4" fillId="0" borderId="1" xfId="1" applyFont="1" applyFill="1" applyBorder="1"/>
    <xf numFmtId="43" fontId="4" fillId="0" borderId="8" xfId="1" applyFont="1" applyBorder="1"/>
    <xf numFmtId="43" fontId="4" fillId="0" borderId="0" xfId="1" applyFont="1" applyBorder="1" applyAlignment="1">
      <alignment horizontal="center"/>
    </xf>
    <xf numFmtId="43" fontId="4" fillId="0" borderId="0" xfId="1" quotePrefix="1" applyFont="1" applyBorder="1" applyAlignment="1">
      <alignment horizontal="center"/>
    </xf>
    <xf numFmtId="43" fontId="3" fillId="0" borderId="1" xfId="1" applyFont="1" applyFill="1" applyBorder="1"/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43" fontId="4" fillId="0" borderId="0" xfId="1" applyFont="1" applyBorder="1"/>
    <xf numFmtId="0" fontId="4" fillId="0" borderId="0" xfId="0" quotePrefix="1" applyFont="1"/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4" fillId="0" borderId="0" xfId="1" applyFont="1"/>
    <xf numFmtId="0" fontId="3" fillId="0" borderId="10" xfId="0" applyFont="1" applyBorder="1"/>
    <xf numFmtId="43" fontId="3" fillId="0" borderId="8" xfId="1" applyFont="1" applyFill="1" applyBorder="1"/>
    <xf numFmtId="43" fontId="3" fillId="0" borderId="0" xfId="1" applyFont="1" applyFill="1" applyBorder="1" applyAlignment="1">
      <alignment horizontal="center"/>
    </xf>
    <xf numFmtId="43" fontId="4" fillId="0" borderId="8" xfId="1" applyFont="1" applyFill="1" applyBorder="1"/>
    <xf numFmtId="43" fontId="4" fillId="0" borderId="0" xfId="1" quotePrefix="1" applyFont="1" applyFill="1" applyBorder="1" applyAlignment="1">
      <alignment horizontal="center"/>
    </xf>
    <xf numFmtId="0" fontId="3" fillId="0" borderId="1" xfId="0" quotePrefix="1" applyFont="1" applyBorder="1"/>
    <xf numFmtId="0" fontId="3" fillId="0" borderId="0" xfId="0" quotePrefix="1" applyFont="1" applyAlignment="1">
      <alignment horizontal="center"/>
    </xf>
    <xf numFmtId="43" fontId="4" fillId="0" borderId="1" xfId="1" applyFont="1" applyBorder="1" applyAlignment="1">
      <alignment horizontal="center"/>
    </xf>
    <xf numFmtId="43" fontId="3" fillId="0" borderId="1" xfId="1" quotePrefix="1" applyFont="1" applyBorder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43" fontId="5" fillId="0" borderId="0" xfId="0" quotePrefix="1" applyNumberFormat="1" applyFont="1"/>
    <xf numFmtId="43" fontId="3" fillId="0" borderId="1" xfId="1" quotePrefix="1" applyFont="1" applyFill="1" applyBorder="1"/>
    <xf numFmtId="43" fontId="3" fillId="0" borderId="0" xfId="0" applyNumberFormat="1" applyFont="1"/>
    <xf numFmtId="43" fontId="3" fillId="0" borderId="0" xfId="1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43" fontId="4" fillId="3" borderId="1" xfId="1" applyFont="1" applyFill="1" applyBorder="1"/>
    <xf numFmtId="43" fontId="4" fillId="3" borderId="1" xfId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9" xfId="0" applyFont="1" applyFill="1" applyBorder="1" applyAlignment="1">
      <alignment horizontal="center"/>
    </xf>
    <xf numFmtId="167" fontId="4" fillId="3" borderId="9" xfId="0" applyNumberFormat="1" applyFont="1" applyFill="1" applyBorder="1" applyAlignment="1">
      <alignment horizontal="center"/>
    </xf>
    <xf numFmtId="43" fontId="4" fillId="3" borderId="9" xfId="1" applyFont="1" applyFill="1" applyBorder="1" applyAlignment="1">
      <alignment horizontal="center"/>
    </xf>
    <xf numFmtId="43" fontId="4" fillId="3" borderId="14" xfId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43" fontId="4" fillId="4" borderId="1" xfId="1" applyFont="1" applyFill="1" applyBorder="1"/>
    <xf numFmtId="167" fontId="4" fillId="4" borderId="10" xfId="0" applyNumberFormat="1" applyFont="1" applyFill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justify" vertical="center" wrapText="1" shrinkToFit="1"/>
    </xf>
    <xf numFmtId="43" fontId="3" fillId="3" borderId="1" xfId="1" applyFont="1" applyFill="1" applyBorder="1"/>
    <xf numFmtId="0" fontId="4" fillId="5" borderId="13" xfId="0" applyFont="1" applyFill="1" applyBorder="1"/>
    <xf numFmtId="0" fontId="4" fillId="5" borderId="9" xfId="0" applyFont="1" applyFill="1" applyBorder="1" applyAlignment="1">
      <alignment horizontal="center"/>
    </xf>
    <xf numFmtId="167" fontId="4" fillId="5" borderId="9" xfId="0" applyNumberFormat="1" applyFont="1" applyFill="1" applyBorder="1" applyAlignment="1">
      <alignment horizontal="center"/>
    </xf>
    <xf numFmtId="43" fontId="4" fillId="5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quotePrefix="1" applyFont="1" applyBorder="1" applyAlignment="1">
      <alignment horizontal="center"/>
    </xf>
    <xf numFmtId="43" fontId="4" fillId="0" borderId="0" xfId="1" applyFont="1" applyAlignment="1">
      <alignment horizontal="center"/>
    </xf>
    <xf numFmtId="167" fontId="4" fillId="3" borderId="15" xfId="0" applyNumberFormat="1" applyFont="1" applyFill="1" applyBorder="1" applyAlignment="1">
      <alignment horizontal="center"/>
    </xf>
    <xf numFmtId="166" fontId="4" fillId="3" borderId="15" xfId="0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43" fontId="8" fillId="0" borderId="0" xfId="1" applyFont="1"/>
    <xf numFmtId="0" fontId="6" fillId="0" borderId="17" xfId="0" applyFont="1" applyBorder="1" applyAlignment="1">
      <alignment horizontal="center"/>
    </xf>
    <xf numFmtId="166" fontId="6" fillId="0" borderId="17" xfId="0" applyNumberFormat="1" applyFont="1" applyBorder="1"/>
    <xf numFmtId="166" fontId="6" fillId="6" borderId="17" xfId="0" applyNumberFormat="1" applyFont="1" applyFill="1" applyBorder="1"/>
    <xf numFmtId="166" fontId="6" fillId="6" borderId="0" xfId="0" applyNumberFormat="1" applyFont="1" applyFill="1"/>
    <xf numFmtId="166" fontId="6" fillId="0" borderId="18" xfId="0" applyNumberFormat="1" applyFont="1" applyBorder="1"/>
    <xf numFmtId="166" fontId="6" fillId="0" borderId="0" xfId="0" applyNumberFormat="1" applyFont="1"/>
    <xf numFmtId="0" fontId="6" fillId="0" borderId="0" xfId="0" applyFont="1"/>
    <xf numFmtId="0" fontId="6" fillId="7" borderId="17" xfId="0" quotePrefix="1" applyFont="1" applyFill="1" applyBorder="1" applyAlignment="1">
      <alignment horizontal="center"/>
    </xf>
    <xf numFmtId="166" fontId="6" fillId="7" borderId="17" xfId="0" applyNumberFormat="1" applyFont="1" applyFill="1" applyBorder="1"/>
    <xf numFmtId="166" fontId="6" fillId="7" borderId="17" xfId="0" quotePrefix="1" applyNumberFormat="1" applyFont="1" applyFill="1" applyBorder="1"/>
    <xf numFmtId="166" fontId="6" fillId="6" borderId="17" xfId="0" quotePrefix="1" applyNumberFormat="1" applyFont="1" applyFill="1" applyBorder="1"/>
    <xf numFmtId="166" fontId="6" fillId="7" borderId="0" xfId="0" applyNumberFormat="1" applyFont="1" applyFill="1"/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6" fontId="6" fillId="8" borderId="17" xfId="0" applyNumberFormat="1" applyFont="1" applyFill="1" applyBorder="1"/>
    <xf numFmtId="166" fontId="6" fillId="8" borderId="0" xfId="0" applyNumberFormat="1" applyFont="1" applyFill="1"/>
    <xf numFmtId="166" fontId="6" fillId="8" borderId="17" xfId="0" quotePrefix="1" applyNumberFormat="1" applyFont="1" applyFill="1" applyBorder="1"/>
    <xf numFmtId="166" fontId="6" fillId="0" borderId="17" xfId="0" quotePrefix="1" applyNumberFormat="1" applyFont="1" applyBorder="1"/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66" fontId="7" fillId="0" borderId="0" xfId="0" applyNumberFormat="1" applyFont="1"/>
    <xf numFmtId="49" fontId="6" fillId="0" borderId="0" xfId="0" applyNumberFormat="1" applyFont="1"/>
    <xf numFmtId="43" fontId="4" fillId="9" borderId="0" xfId="1" quotePrefix="1" applyFont="1" applyFill="1" applyBorder="1" applyAlignment="1">
      <alignment horizontal="center"/>
    </xf>
    <xf numFmtId="43" fontId="4" fillId="0" borderId="1" xfId="1" quotePrefix="1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0" xfId="0" quotePrefix="1" applyFont="1" applyBorder="1"/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167" fontId="4" fillId="0" borderId="20" xfId="0" applyNumberFormat="1" applyFont="1" applyBorder="1" applyAlignment="1">
      <alignment horizontal="center"/>
    </xf>
    <xf numFmtId="43" fontId="4" fillId="0" borderId="20" xfId="1" applyFont="1" applyFill="1" applyBorder="1" applyAlignment="1">
      <alignment horizontal="center"/>
    </xf>
    <xf numFmtId="43" fontId="4" fillId="0" borderId="20" xfId="1" quotePrefix="1" applyFont="1" applyFill="1" applyBorder="1" applyAlignment="1">
      <alignment horizontal="center"/>
    </xf>
    <xf numFmtId="43" fontId="4" fillId="0" borderId="20" xfId="1" applyFont="1" applyFill="1" applyBorder="1"/>
    <xf numFmtId="167" fontId="4" fillId="0" borderId="9" xfId="0" applyNumberFormat="1" applyFont="1" applyBorder="1" applyAlignment="1">
      <alignment horizontal="center"/>
    </xf>
    <xf numFmtId="43" fontId="3" fillId="9" borderId="0" xfId="1" applyFont="1" applyFill="1" applyBorder="1" applyAlignment="1">
      <alignment horizontal="center"/>
    </xf>
    <xf numFmtId="0" fontId="10" fillId="0" borderId="0" xfId="0" applyFont="1"/>
    <xf numFmtId="43" fontId="3" fillId="0" borderId="0" xfId="1" quotePrefix="1" applyFont="1" applyFill="1" applyBorder="1" applyAlignment="1">
      <alignment horizontal="center"/>
    </xf>
    <xf numFmtId="0" fontId="1" fillId="0" borderId="0" xfId="0" applyFont="1"/>
    <xf numFmtId="0" fontId="11" fillId="0" borderId="0" xfId="0" applyFont="1"/>
    <xf numFmtId="0" fontId="12" fillId="26" borderId="13" xfId="0" applyFont="1" applyFill="1" applyBorder="1" applyAlignment="1">
      <alignment horizontal="center"/>
    </xf>
    <xf numFmtId="0" fontId="12" fillId="26" borderId="21" xfId="0" applyFont="1" applyFill="1" applyBorder="1" applyAlignment="1">
      <alignment horizontal="center"/>
    </xf>
    <xf numFmtId="0" fontId="12" fillId="26" borderId="9" xfId="0" applyFont="1" applyFill="1" applyBorder="1" applyAlignment="1">
      <alignment horizontal="center" wrapText="1"/>
    </xf>
    <xf numFmtId="2" fontId="12" fillId="26" borderId="14" xfId="0" applyNumberFormat="1" applyFont="1" applyFill="1" applyBorder="1" applyAlignment="1">
      <alignment horizontal="center" wrapText="1"/>
    </xf>
    <xf numFmtId="0" fontId="11" fillId="0" borderId="22" xfId="0" applyFont="1" applyBorder="1"/>
    <xf numFmtId="0" fontId="11" fillId="0" borderId="23" xfId="0" applyFont="1" applyBorder="1"/>
    <xf numFmtId="1" fontId="11" fillId="0" borderId="24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center"/>
    </xf>
    <xf numFmtId="170" fontId="11" fillId="0" borderId="24" xfId="0" applyNumberFormat="1" applyFont="1" applyBorder="1"/>
    <xf numFmtId="170" fontId="11" fillId="0" borderId="25" xfId="0" applyNumberFormat="1" applyFont="1" applyBorder="1"/>
    <xf numFmtId="170" fontId="1" fillId="0" borderId="0" xfId="0" applyNumberFormat="1" applyFont="1"/>
    <xf numFmtId="16" fontId="11" fillId="0" borderId="23" xfId="0" applyNumberFormat="1" applyFont="1" applyBorder="1"/>
    <xf numFmtId="1" fontId="11" fillId="0" borderId="23" xfId="0" applyNumberFormat="1" applyFont="1" applyBorder="1"/>
    <xf numFmtId="0" fontId="11" fillId="0" borderId="22" xfId="0" applyFont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0" fontId="11" fillId="0" borderId="26" xfId="0" applyFont="1" applyBorder="1"/>
    <xf numFmtId="0" fontId="11" fillId="0" borderId="27" xfId="0" applyFont="1" applyBorder="1"/>
    <xf numFmtId="1" fontId="11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center"/>
    </xf>
    <xf numFmtId="170" fontId="11" fillId="0" borderId="28" xfId="0" applyNumberFormat="1" applyFont="1" applyBorder="1"/>
    <xf numFmtId="170" fontId="11" fillId="0" borderId="29" xfId="0" applyNumberFormat="1" applyFont="1" applyBorder="1"/>
    <xf numFmtId="164" fontId="1" fillId="0" borderId="0" xfId="0" applyNumberFormat="1" applyFont="1"/>
    <xf numFmtId="164" fontId="12" fillId="26" borderId="13" xfId="0" applyNumberFormat="1" applyFont="1" applyFill="1" applyBorder="1" applyAlignment="1">
      <alignment horizontal="center"/>
    </xf>
    <xf numFmtId="164" fontId="12" fillId="26" borderId="21" xfId="0" applyNumberFormat="1" applyFont="1" applyFill="1" applyBorder="1" applyAlignment="1">
      <alignment horizontal="center"/>
    </xf>
    <xf numFmtId="164" fontId="12" fillId="26" borderId="9" xfId="0" applyNumberFormat="1" applyFont="1" applyFill="1" applyBorder="1" applyAlignment="1">
      <alignment horizontal="center" wrapText="1"/>
    </xf>
    <xf numFmtId="164" fontId="12" fillId="26" borderId="14" xfId="0" applyNumberFormat="1" applyFont="1" applyFill="1" applyBorder="1" applyAlignment="1">
      <alignment horizontal="center" wrapText="1"/>
    </xf>
    <xf numFmtId="164" fontId="11" fillId="0" borderId="22" xfId="0" applyNumberFormat="1" applyFont="1" applyBorder="1"/>
    <xf numFmtId="164" fontId="11" fillId="0" borderId="23" xfId="0" applyNumberFormat="1" applyFont="1" applyBorder="1"/>
    <xf numFmtId="164" fontId="11" fillId="0" borderId="24" xfId="0" applyNumberFormat="1" applyFont="1" applyBorder="1" applyAlignment="1">
      <alignment horizontal="right"/>
    </xf>
    <xf numFmtId="164" fontId="11" fillId="0" borderId="24" xfId="0" applyNumberFormat="1" applyFont="1" applyBorder="1" applyAlignment="1">
      <alignment horizontal="center"/>
    </xf>
    <xf numFmtId="164" fontId="11" fillId="0" borderId="24" xfId="0" applyNumberFormat="1" applyFont="1" applyBorder="1"/>
    <xf numFmtId="164" fontId="11" fillId="0" borderId="25" xfId="0" applyNumberFormat="1" applyFont="1" applyBorder="1"/>
    <xf numFmtId="164" fontId="11" fillId="0" borderId="22" xfId="0" applyNumberFormat="1" applyFont="1" applyBorder="1" applyAlignment="1">
      <alignment horizontal="left"/>
    </xf>
    <xf numFmtId="164" fontId="11" fillId="0" borderId="23" xfId="0" applyNumberFormat="1" applyFont="1" applyBorder="1" applyAlignment="1">
      <alignment horizontal="left"/>
    </xf>
    <xf numFmtId="164" fontId="11" fillId="0" borderId="26" xfId="0" applyNumberFormat="1" applyFont="1" applyBorder="1"/>
    <xf numFmtId="164" fontId="11" fillId="0" borderId="27" xfId="0" applyNumberFormat="1" applyFont="1" applyBorder="1"/>
    <xf numFmtId="164" fontId="11" fillId="0" borderId="28" xfId="0" applyNumberFormat="1" applyFont="1" applyBorder="1" applyAlignment="1">
      <alignment horizontal="right"/>
    </xf>
    <xf numFmtId="164" fontId="11" fillId="0" borderId="28" xfId="0" applyNumberFormat="1" applyFont="1" applyBorder="1" applyAlignment="1">
      <alignment horizontal="center"/>
    </xf>
    <xf numFmtId="164" fontId="11" fillId="0" borderId="28" xfId="0" applyNumberFormat="1" applyFont="1" applyBorder="1"/>
    <xf numFmtId="164" fontId="11" fillId="0" borderId="29" xfId="0" applyNumberFormat="1" applyFont="1" applyBorder="1"/>
    <xf numFmtId="164" fontId="11" fillId="0" borderId="0" xfId="0" applyNumberFormat="1" applyFont="1"/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/>
    </xf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69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11" borderId="1" xfId="0" applyNumberFormat="1" applyFont="1" applyFill="1" applyBorder="1"/>
    <xf numFmtId="4" fontId="13" fillId="12" borderId="1" xfId="0" applyNumberFormat="1" applyFont="1" applyFill="1" applyBorder="1"/>
    <xf numFmtId="4" fontId="13" fillId="13" borderId="1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/>
    <xf numFmtId="49" fontId="13" fillId="0" borderId="0" xfId="0" applyNumberFormat="1" applyFont="1"/>
    <xf numFmtId="49" fontId="14" fillId="17" borderId="0" xfId="0" applyNumberFormat="1" applyFont="1" applyFill="1"/>
    <xf numFmtId="4" fontId="14" fillId="17" borderId="0" xfId="1" applyNumberFormat="1" applyFont="1" applyFill="1" applyBorder="1"/>
    <xf numFmtId="164" fontId="14" fillId="17" borderId="0" xfId="1" applyNumberFormat="1" applyFont="1" applyFill="1" applyBorder="1"/>
    <xf numFmtId="49" fontId="14" fillId="0" borderId="0" xfId="0" applyNumberFormat="1" applyFont="1"/>
    <xf numFmtId="3" fontId="14" fillId="0" borderId="0" xfId="0" applyNumberFormat="1" applyFont="1" applyAlignment="1">
      <alignment horizontal="center"/>
    </xf>
    <xf numFmtId="169" fontId="14" fillId="15" borderId="0" xfId="1" applyNumberFormat="1" applyFont="1" applyFill="1" applyAlignment="1">
      <alignment horizontal="center"/>
    </xf>
    <xf numFmtId="4" fontId="14" fillId="11" borderId="0" xfId="0" applyNumberFormat="1" applyFont="1" applyFill="1"/>
    <xf numFmtId="4" fontId="14" fillId="12" borderId="0" xfId="0" applyNumberFormat="1" applyFont="1" applyFill="1"/>
    <xf numFmtId="4" fontId="14" fillId="13" borderId="0" xfId="0" applyNumberFormat="1" applyFont="1" applyFill="1"/>
    <xf numFmtId="4" fontId="14" fillId="0" borderId="0" xfId="0" applyNumberFormat="1" applyFont="1"/>
    <xf numFmtId="49" fontId="14" fillId="14" borderId="1" xfId="0" applyNumberFormat="1" applyFont="1" applyFill="1" applyBorder="1"/>
    <xf numFmtId="164" fontId="14" fillId="14" borderId="1" xfId="1" applyNumberFormat="1" applyFont="1" applyFill="1" applyBorder="1"/>
    <xf numFmtId="49" fontId="14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169" fontId="14" fillId="15" borderId="1" xfId="1" applyNumberFormat="1" applyFont="1" applyFill="1" applyBorder="1" applyAlignment="1">
      <alignment horizontal="center"/>
    </xf>
    <xf numFmtId="4" fontId="14" fillId="9" borderId="1" xfId="1" applyNumberFormat="1" applyFont="1" applyFill="1" applyBorder="1" applyAlignment="1">
      <alignment horizontal="center"/>
    </xf>
    <xf numFmtId="4" fontId="14" fillId="11" borderId="1" xfId="0" applyNumberFormat="1" applyFont="1" applyFill="1" applyBorder="1"/>
    <xf numFmtId="4" fontId="14" fillId="12" borderId="1" xfId="0" applyNumberFormat="1" applyFont="1" applyFill="1" applyBorder="1"/>
    <xf numFmtId="4" fontId="14" fillId="13" borderId="1" xfId="0" applyNumberFormat="1" applyFont="1" applyFill="1" applyBorder="1"/>
    <xf numFmtId="4" fontId="14" fillId="0" borderId="1" xfId="0" applyNumberFormat="1" applyFont="1" applyBorder="1"/>
    <xf numFmtId="49" fontId="14" fillId="5" borderId="1" xfId="0" applyNumberFormat="1" applyFont="1" applyFill="1" applyBorder="1"/>
    <xf numFmtId="164" fontId="14" fillId="5" borderId="1" xfId="1" applyNumberFormat="1" applyFont="1" applyFill="1" applyBorder="1"/>
    <xf numFmtId="49" fontId="13" fillId="4" borderId="1" xfId="0" applyNumberFormat="1" applyFont="1" applyFill="1" applyBorder="1"/>
    <xf numFmtId="49" fontId="14" fillId="4" borderId="1" xfId="0" applyNumberFormat="1" applyFont="1" applyFill="1" applyBorder="1"/>
    <xf numFmtId="164" fontId="14" fillId="4" borderId="1" xfId="1" applyNumberFormat="1" applyFont="1" applyFill="1" applyBorder="1"/>
    <xf numFmtId="49" fontId="14" fillId="11" borderId="1" xfId="0" applyNumberFormat="1" applyFont="1" applyFill="1" applyBorder="1"/>
    <xf numFmtId="164" fontId="14" fillId="11" borderId="1" xfId="1" applyNumberFormat="1" applyFont="1" applyFill="1" applyBorder="1"/>
    <xf numFmtId="49" fontId="14" fillId="16" borderId="1" xfId="0" applyNumberFormat="1" applyFont="1" applyFill="1" applyBorder="1"/>
    <xf numFmtId="164" fontId="14" fillId="16" borderId="1" xfId="1" applyNumberFormat="1" applyFont="1" applyFill="1" applyBorder="1"/>
    <xf numFmtId="49" fontId="14" fillId="10" borderId="1" xfId="0" applyNumberFormat="1" applyFont="1" applyFill="1" applyBorder="1"/>
    <xf numFmtId="164" fontId="14" fillId="10" borderId="1" xfId="1" applyNumberFormat="1" applyFont="1" applyFill="1" applyBorder="1"/>
    <xf numFmtId="49" fontId="14" fillId="18" borderId="1" xfId="0" applyNumberFormat="1" applyFont="1" applyFill="1" applyBorder="1"/>
    <xf numFmtId="164" fontId="14" fillId="18" borderId="1" xfId="1" applyNumberFormat="1" applyFont="1" applyFill="1" applyBorder="1"/>
    <xf numFmtId="49" fontId="14" fillId="9" borderId="1" xfId="0" applyNumberFormat="1" applyFont="1" applyFill="1" applyBorder="1"/>
    <xf numFmtId="164" fontId="14" fillId="9" borderId="1" xfId="1" applyNumberFormat="1" applyFont="1" applyFill="1" applyBorder="1"/>
    <xf numFmtId="49" fontId="14" fillId="19" borderId="1" xfId="0" applyNumberFormat="1" applyFont="1" applyFill="1" applyBorder="1"/>
    <xf numFmtId="164" fontId="14" fillId="19" borderId="1" xfId="1" applyNumberFormat="1" applyFont="1" applyFill="1" applyBorder="1"/>
    <xf numFmtId="49" fontId="14" fillId="23" borderId="1" xfId="0" applyNumberFormat="1" applyFont="1" applyFill="1" applyBorder="1"/>
    <xf numFmtId="164" fontId="14" fillId="23" borderId="1" xfId="1" applyNumberFormat="1" applyFont="1" applyFill="1" applyBorder="1"/>
    <xf numFmtId="49" fontId="14" fillId="21" borderId="1" xfId="0" applyNumberFormat="1" applyFont="1" applyFill="1" applyBorder="1"/>
    <xf numFmtId="164" fontId="14" fillId="21" borderId="1" xfId="1" applyNumberFormat="1" applyFont="1" applyFill="1" applyBorder="1"/>
    <xf numFmtId="49" fontId="14" fillId="24" borderId="1" xfId="0" applyNumberFormat="1" applyFont="1" applyFill="1" applyBorder="1"/>
    <xf numFmtId="164" fontId="14" fillId="24" borderId="1" xfId="1" applyNumberFormat="1" applyFont="1" applyFill="1" applyBorder="1"/>
    <xf numFmtId="49" fontId="14" fillId="7" borderId="1" xfId="0" applyNumberFormat="1" applyFont="1" applyFill="1" applyBorder="1"/>
    <xf numFmtId="164" fontId="14" fillId="7" borderId="1" xfId="1" applyNumberFormat="1" applyFont="1" applyFill="1" applyBorder="1"/>
    <xf numFmtId="49" fontId="14" fillId="22" borderId="1" xfId="0" applyNumberFormat="1" applyFont="1" applyFill="1" applyBorder="1"/>
    <xf numFmtId="164" fontId="14" fillId="22" borderId="1" xfId="1" applyNumberFormat="1" applyFont="1" applyFill="1" applyBorder="1"/>
    <xf numFmtId="49" fontId="14" fillId="8" borderId="1" xfId="0" applyNumberFormat="1" applyFont="1" applyFill="1" applyBorder="1"/>
    <xf numFmtId="164" fontId="14" fillId="8" borderId="1" xfId="1" applyNumberFormat="1" applyFont="1" applyFill="1" applyBorder="1"/>
    <xf numFmtId="49" fontId="14" fillId="13" borderId="1" xfId="0" applyNumberFormat="1" applyFont="1" applyFill="1" applyBorder="1"/>
    <xf numFmtId="164" fontId="14" fillId="13" borderId="1" xfId="1" applyNumberFormat="1" applyFont="1" applyFill="1" applyBorder="1"/>
    <xf numFmtId="49" fontId="14" fillId="6" borderId="1" xfId="0" applyNumberFormat="1" applyFont="1" applyFill="1" applyBorder="1"/>
    <xf numFmtId="164" fontId="14" fillId="6" borderId="1" xfId="1" applyNumberFormat="1" applyFont="1" applyFill="1" applyBorder="1"/>
    <xf numFmtId="164" fontId="14" fillId="0" borderId="0" xfId="1" applyNumberFormat="1" applyFont="1" applyFill="1"/>
    <xf numFmtId="169" fontId="14" fillId="0" borderId="0" xfId="1" applyNumberFormat="1" applyFont="1" applyFill="1" applyAlignment="1">
      <alignment horizontal="center"/>
    </xf>
    <xf numFmtId="4" fontId="14" fillId="0" borderId="0" xfId="1" applyNumberFormat="1" applyFont="1" applyFill="1" applyAlignment="1">
      <alignment horizontal="center"/>
    </xf>
    <xf numFmtId="164" fontId="14" fillId="0" borderId="0" xfId="1" applyNumberFormat="1" applyFont="1"/>
    <xf numFmtId="169" fontId="14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49" fontId="14" fillId="20" borderId="10" xfId="0" applyNumberFormat="1" applyFont="1" applyFill="1" applyBorder="1"/>
    <xf numFmtId="164" fontId="14" fillId="20" borderId="10" xfId="1" applyNumberFormat="1" applyFont="1" applyFill="1" applyBorder="1"/>
    <xf numFmtId="49" fontId="14" fillId="0" borderId="10" xfId="0" applyNumberFormat="1" applyFont="1" applyBorder="1"/>
    <xf numFmtId="49" fontId="14" fillId="0" borderId="19" xfId="0" applyNumberFormat="1" applyFont="1" applyBorder="1"/>
    <xf numFmtId="164" fontId="14" fillId="0" borderId="19" xfId="1" applyNumberFormat="1" applyFont="1" applyFill="1" applyBorder="1"/>
    <xf numFmtId="4" fontId="14" fillId="25" borderId="0" xfId="1" applyNumberFormat="1" applyFont="1" applyFill="1" applyAlignment="1">
      <alignment horizontal="center"/>
    </xf>
    <xf numFmtId="43" fontId="15" fillId="0" borderId="0" xfId="1" applyFont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3" fillId="0" borderId="17" xfId="0" applyFont="1" applyBorder="1"/>
    <xf numFmtId="0" fontId="3" fillId="0" borderId="11" xfId="0" applyFont="1" applyBorder="1"/>
    <xf numFmtId="49" fontId="17" fillId="0" borderId="19" xfId="0" applyNumberFormat="1" applyFont="1" applyBorder="1"/>
    <xf numFmtId="0" fontId="3" fillId="17" borderId="17" xfId="0" applyFont="1" applyFill="1" applyBorder="1"/>
    <xf numFmtId="4" fontId="17" fillId="0" borderId="1" xfId="0" applyNumberFormat="1" applyFont="1" applyBorder="1"/>
    <xf numFmtId="4" fontId="17" fillId="27" borderId="1" xfId="0" applyNumberFormat="1" applyFont="1" applyFill="1" applyBorder="1"/>
    <xf numFmtId="4" fontId="3" fillId="0" borderId="1" xfId="0" applyNumberFormat="1" applyFont="1" applyBorder="1"/>
    <xf numFmtId="4" fontId="18" fillId="0" borderId="0" xfId="0" applyNumberFormat="1" applyFont="1"/>
    <xf numFmtId="4" fontId="3" fillId="27" borderId="1" xfId="0" applyNumberFormat="1" applyFont="1" applyFill="1" applyBorder="1"/>
    <xf numFmtId="4" fontId="17" fillId="0" borderId="0" xfId="0" applyNumberFormat="1" applyFont="1"/>
    <xf numFmtId="0" fontId="19" fillId="0" borderId="30" xfId="0" applyFont="1" applyBorder="1" applyAlignment="1">
      <alignment horizontal="left"/>
    </xf>
    <xf numFmtId="49" fontId="18" fillId="0" borderId="1" xfId="0" applyNumberFormat="1" applyFont="1" applyBorder="1"/>
    <xf numFmtId="49" fontId="17" fillId="23" borderId="1" xfId="0" applyNumberFormat="1" applyFont="1" applyFill="1" applyBorder="1"/>
    <xf numFmtId="49" fontId="17" fillId="21" borderId="1" xfId="0" applyNumberFormat="1" applyFont="1" applyFill="1" applyBorder="1"/>
    <xf numFmtId="49" fontId="17" fillId="7" borderId="1" xfId="0" applyNumberFormat="1" applyFont="1" applyFill="1" applyBorder="1"/>
    <xf numFmtId="49" fontId="17" fillId="13" borderId="1" xfId="0" applyNumberFormat="1" applyFont="1" applyFill="1" applyBorder="1"/>
    <xf numFmtId="49" fontId="17" fillId="6" borderId="1" xfId="0" applyNumberFormat="1" applyFont="1" applyFill="1" applyBorder="1"/>
    <xf numFmtId="49" fontId="17" fillId="20" borderId="10" xfId="0" applyNumberFormat="1" applyFont="1" applyFill="1" applyBorder="1"/>
    <xf numFmtId="49" fontId="17" fillId="0" borderId="0" xfId="0" applyNumberFormat="1" applyFont="1"/>
    <xf numFmtId="49" fontId="18" fillId="25" borderId="0" xfId="0" applyNumberFormat="1" applyFont="1" applyFill="1"/>
    <xf numFmtId="49" fontId="18" fillId="25" borderId="1" xfId="0" applyNumberFormat="1" applyFont="1" applyFill="1" applyBorder="1"/>
    <xf numFmtId="49" fontId="20" fillId="0" borderId="1" xfId="0" applyNumberFormat="1" applyFont="1" applyBorder="1"/>
    <xf numFmtId="49" fontId="20" fillId="25" borderId="1" xfId="0" applyNumberFormat="1" applyFont="1" applyFill="1" applyBorder="1"/>
    <xf numFmtId="49" fontId="21" fillId="25" borderId="1" xfId="0" applyNumberFormat="1" applyFont="1" applyFill="1" applyBorder="1"/>
    <xf numFmtId="49" fontId="20" fillId="19" borderId="1" xfId="0" applyNumberFormat="1" applyFont="1" applyFill="1" applyBorder="1"/>
    <xf numFmtId="49" fontId="20" fillId="7" borderId="1" xfId="0" applyNumberFormat="1" applyFont="1" applyFill="1" applyBorder="1"/>
    <xf numFmtId="49" fontId="18" fillId="0" borderId="10" xfId="0" applyNumberFormat="1" applyFont="1" applyBorder="1"/>
    <xf numFmtId="49" fontId="20" fillId="0" borderId="19" xfId="0" applyNumberFormat="1" applyFont="1" applyBorder="1"/>
    <xf numFmtId="49" fontId="20" fillId="25" borderId="19" xfId="0" applyNumberFormat="1" applyFont="1" applyFill="1" applyBorder="1"/>
    <xf numFmtId="49" fontId="20" fillId="0" borderId="0" xfId="0" applyNumberFormat="1" applyFont="1"/>
    <xf numFmtId="0" fontId="3" fillId="24" borderId="1" xfId="0" applyFont="1" applyFill="1" applyBorder="1" applyAlignment="1">
      <alignment horizontal="left"/>
    </xf>
    <xf numFmtId="167" fontId="3" fillId="24" borderId="1" xfId="0" applyNumberFormat="1" applyFont="1" applyFill="1" applyBorder="1" applyAlignment="1">
      <alignment horizontal="left"/>
    </xf>
    <xf numFmtId="0" fontId="3" fillId="24" borderId="1" xfId="0" applyFont="1" applyFill="1" applyBorder="1" applyAlignment="1">
      <alignment horizontal="left" vertical="center" wrapText="1" shrinkToFit="1"/>
    </xf>
    <xf numFmtId="0" fontId="3" fillId="24" borderId="1" xfId="0" applyFont="1" applyFill="1" applyBorder="1" applyAlignment="1">
      <alignment horizontal="left" vertical="center"/>
    </xf>
    <xf numFmtId="43" fontId="3" fillId="24" borderId="1" xfId="1" applyFont="1" applyFill="1" applyBorder="1" applyAlignment="1">
      <alignment horizontal="left"/>
    </xf>
    <xf numFmtId="0" fontId="2" fillId="24" borderId="11" xfId="0" applyFont="1" applyFill="1" applyBorder="1"/>
    <xf numFmtId="0" fontId="2" fillId="24" borderId="12" xfId="0" applyFont="1" applyFill="1" applyBorder="1" applyAlignment="1">
      <alignment horizontal="center"/>
    </xf>
    <xf numFmtId="0" fontId="4" fillId="24" borderId="1" xfId="0" applyFont="1" applyFill="1" applyBorder="1"/>
    <xf numFmtId="0" fontId="4" fillId="24" borderId="1" xfId="0" applyFont="1" applyFill="1" applyBorder="1" applyAlignment="1">
      <alignment horizontal="center"/>
    </xf>
    <xf numFmtId="167" fontId="4" fillId="24" borderId="1" xfId="0" applyNumberFormat="1" applyFont="1" applyFill="1" applyBorder="1" applyAlignment="1">
      <alignment horizontal="center"/>
    </xf>
    <xf numFmtId="0" fontId="4" fillId="24" borderId="1" xfId="0" applyFont="1" applyFill="1" applyBorder="1" applyAlignment="1">
      <alignment wrapText="1"/>
    </xf>
    <xf numFmtId="0" fontId="4" fillId="24" borderId="1" xfId="0" applyFont="1" applyFill="1" applyBorder="1" applyAlignment="1">
      <alignment vertical="center" wrapText="1"/>
    </xf>
    <xf numFmtId="0" fontId="4" fillId="24" borderId="1" xfId="0" applyFont="1" applyFill="1" applyBorder="1" applyAlignment="1">
      <alignment vertical="center"/>
    </xf>
    <xf numFmtId="43" fontId="4" fillId="24" borderId="1" xfId="1" applyFont="1" applyFill="1" applyBorder="1"/>
    <xf numFmtId="43" fontId="4" fillId="24" borderId="1" xfId="1" applyFont="1" applyFill="1" applyBorder="1" applyAlignment="1">
      <alignment horizontal="center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center"/>
    </xf>
    <xf numFmtId="167" fontId="3" fillId="24" borderId="1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/>
    </xf>
    <xf numFmtId="43" fontId="3" fillId="24" borderId="1" xfId="1" applyFont="1" applyFill="1" applyBorder="1"/>
    <xf numFmtId="43" fontId="3" fillId="24" borderId="1" xfId="1" applyFont="1" applyFill="1" applyBorder="1" applyAlignment="1">
      <alignment horizontal="center"/>
    </xf>
    <xf numFmtId="0" fontId="10" fillId="24" borderId="1" xfId="0" applyFont="1" applyFill="1" applyBorder="1"/>
    <xf numFmtId="0" fontId="10" fillId="24" borderId="1" xfId="0" applyFont="1" applyFill="1" applyBorder="1" applyAlignment="1">
      <alignment horizontal="center"/>
    </xf>
    <xf numFmtId="167" fontId="10" fillId="24" borderId="1" xfId="0" applyNumberFormat="1" applyFont="1" applyFill="1" applyBorder="1" applyAlignment="1">
      <alignment horizontal="center"/>
    </xf>
    <xf numFmtId="0" fontId="10" fillId="24" borderId="1" xfId="0" applyFont="1" applyFill="1" applyBorder="1" applyAlignment="1">
      <alignment wrapText="1"/>
    </xf>
    <xf numFmtId="0" fontId="10" fillId="24" borderId="1" xfId="0" applyFont="1" applyFill="1" applyBorder="1" applyAlignment="1">
      <alignment vertical="center" wrapText="1"/>
    </xf>
    <xf numFmtId="0" fontId="10" fillId="24" borderId="1" xfId="0" applyFont="1" applyFill="1" applyBorder="1" applyAlignment="1">
      <alignment vertical="center"/>
    </xf>
    <xf numFmtId="43" fontId="10" fillId="24" borderId="1" xfId="1" applyFont="1" applyFill="1" applyBorder="1"/>
    <xf numFmtId="43" fontId="10" fillId="24" borderId="10" xfId="1" applyFont="1" applyFill="1" applyBorder="1" applyAlignment="1">
      <alignment horizontal="center"/>
    </xf>
    <xf numFmtId="0" fontId="23" fillId="0" borderId="0" xfId="0" applyFont="1"/>
    <xf numFmtId="43" fontId="4" fillId="0" borderId="9" xfId="1" applyFont="1" applyBorder="1" applyAlignment="1">
      <alignment horizontal="center"/>
    </xf>
    <xf numFmtId="43" fontId="4" fillId="3" borderId="15" xfId="1" applyFont="1" applyFill="1" applyBorder="1" applyAlignment="1">
      <alignment horizontal="center"/>
    </xf>
    <xf numFmtId="43" fontId="4" fillId="3" borderId="0" xfId="1" quotePrefix="1" applyFont="1" applyFill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15" borderId="1" xfId="0" applyFont="1" applyFill="1" applyBorder="1" applyAlignment="1">
      <alignment horizontal="left"/>
    </xf>
    <xf numFmtId="0" fontId="21" fillId="15" borderId="1" xfId="0" applyFont="1" applyFill="1" applyBorder="1"/>
    <xf numFmtId="0" fontId="21" fillId="0" borderId="1" xfId="0" applyFont="1" applyBorder="1"/>
    <xf numFmtId="4" fontId="20" fillId="0" borderId="0" xfId="0" applyNumberFormat="1" applyFont="1"/>
    <xf numFmtId="0" fontId="25" fillId="0" borderId="0" xfId="2" applyFont="1" applyAlignment="1" applyProtection="1"/>
    <xf numFmtId="0" fontId="4" fillId="29" borderId="31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center"/>
    </xf>
    <xf numFmtId="0" fontId="4" fillId="29" borderId="33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26" fillId="15" borderId="35" xfId="0" applyFont="1" applyFill="1" applyBorder="1" applyAlignment="1">
      <alignment horizontal="center"/>
    </xf>
    <xf numFmtId="0" fontId="3" fillId="0" borderId="35" xfId="0" quotePrefix="1" applyFont="1" applyBorder="1"/>
    <xf numFmtId="0" fontId="3" fillId="0" borderId="36" xfId="0" applyFont="1" applyBorder="1"/>
    <xf numFmtId="0" fontId="3" fillId="0" borderId="37" xfId="0" applyFont="1" applyBorder="1"/>
    <xf numFmtId="0" fontId="26" fillId="15" borderId="1" xfId="0" applyFont="1" applyFill="1" applyBorder="1" applyAlignment="1">
      <alignment horizontal="center"/>
    </xf>
    <xf numFmtId="0" fontId="3" fillId="0" borderId="38" xfId="0" applyFont="1" applyBorder="1"/>
    <xf numFmtId="0" fontId="3" fillId="30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26" xfId="0" applyFont="1" applyBorder="1"/>
    <xf numFmtId="0" fontId="3" fillId="0" borderId="28" xfId="0" applyFont="1" applyBorder="1"/>
    <xf numFmtId="0" fontId="3" fillId="7" borderId="28" xfId="0" applyFont="1" applyFill="1" applyBorder="1" applyAlignment="1">
      <alignment horizontal="center"/>
    </xf>
    <xf numFmtId="0" fontId="3" fillId="31" borderId="28" xfId="0" applyFont="1" applyFill="1" applyBorder="1" applyAlignment="1">
      <alignment horizontal="center"/>
    </xf>
    <xf numFmtId="0" fontId="3" fillId="0" borderId="28" xfId="0" quotePrefix="1" applyFont="1" applyBorder="1" applyAlignment="1">
      <alignment horizontal="center"/>
    </xf>
    <xf numFmtId="0" fontId="3" fillId="0" borderId="29" xfId="0" applyFont="1" applyBorder="1"/>
    <xf numFmtId="4" fontId="21" fillId="5" borderId="1" xfId="0" quotePrefix="1" applyNumberFormat="1" applyFont="1" applyFill="1" applyBorder="1"/>
    <xf numFmtId="43" fontId="4" fillId="0" borderId="1" xfId="1" applyFont="1" applyFill="1" applyBorder="1" applyAlignment="1">
      <alignment horizontal="center"/>
    </xf>
    <xf numFmtId="43" fontId="3" fillId="3" borderId="8" xfId="1" applyFont="1" applyFill="1" applyBorder="1"/>
    <xf numFmtId="0" fontId="27" fillId="0" borderId="0" xfId="0" applyFont="1"/>
    <xf numFmtId="0" fontId="28" fillId="0" borderId="0" xfId="0" applyFont="1"/>
    <xf numFmtId="43" fontId="28" fillId="0" borderId="0" xfId="1" applyFont="1"/>
    <xf numFmtId="0" fontId="27" fillId="0" borderId="0" xfId="0" applyFont="1" applyAlignment="1">
      <alignment horizontal="center"/>
    </xf>
    <xf numFmtId="43" fontId="27" fillId="0" borderId="0" xfId="1" applyFont="1"/>
    <xf numFmtId="43" fontId="27" fillId="0" borderId="0" xfId="1" applyFont="1" applyBorder="1"/>
    <xf numFmtId="167" fontId="3" fillId="3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164" fontId="29" fillId="0" borderId="0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43" fontId="3" fillId="0" borderId="19" xfId="1" applyFont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2" fillId="0" borderId="1" xfId="0" applyFont="1" applyBorder="1"/>
    <xf numFmtId="167" fontId="31" fillId="0" borderId="1" xfId="0" applyNumberFormat="1" applyFont="1" applyBorder="1"/>
    <xf numFmtId="0" fontId="32" fillId="2" borderId="1" xfId="0" applyFont="1" applyFill="1" applyBorder="1" applyAlignment="1">
      <alignment horizontal="center"/>
    </xf>
    <xf numFmtId="167" fontId="31" fillId="2" borderId="1" xfId="0" applyNumberFormat="1" applyFont="1" applyFill="1" applyBorder="1" applyAlignment="1">
      <alignment horizontal="center"/>
    </xf>
    <xf numFmtId="167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2" fillId="2" borderId="1" xfId="0" applyFont="1" applyFill="1" applyBorder="1"/>
    <xf numFmtId="43" fontId="31" fillId="2" borderId="1" xfId="1" applyFont="1" applyFill="1" applyBorder="1"/>
    <xf numFmtId="43" fontId="31" fillId="0" borderId="0" xfId="1" applyFont="1" applyFill="1" applyBorder="1"/>
    <xf numFmtId="167" fontId="31" fillId="0" borderId="0" xfId="0" applyNumberFormat="1" applyFont="1"/>
    <xf numFmtId="43" fontId="31" fillId="0" borderId="0" xfId="1" applyFont="1"/>
    <xf numFmtId="168" fontId="31" fillId="0" borderId="0" xfId="1" applyNumberFormat="1" applyFont="1" applyAlignment="1">
      <alignment horizontal="center"/>
    </xf>
    <xf numFmtId="168" fontId="31" fillId="0" borderId="0" xfId="1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43" fontId="34" fillId="0" borderId="0" xfId="1" applyFont="1"/>
    <xf numFmtId="43" fontId="34" fillId="0" borderId="0" xfId="1" applyFont="1" applyFill="1" applyBorder="1"/>
    <xf numFmtId="0" fontId="36" fillId="0" borderId="0" xfId="0" applyFont="1" applyAlignment="1">
      <alignment horizontal="center"/>
    </xf>
    <xf numFmtId="0" fontId="36" fillId="0" borderId="0" xfId="0" applyFont="1"/>
    <xf numFmtId="167" fontId="32" fillId="0" borderId="10" xfId="0" applyNumberFormat="1" applyFont="1" applyBorder="1"/>
    <xf numFmtId="167" fontId="31" fillId="0" borderId="10" xfId="0" applyNumberFormat="1" applyFont="1" applyBorder="1" applyAlignment="1">
      <alignment horizontal="center"/>
    </xf>
    <xf numFmtId="49" fontId="32" fillId="0" borderId="34" xfId="0" applyNumberFormat="1" applyFont="1" applyBorder="1" applyAlignment="1">
      <alignment horizontal="right"/>
    </xf>
    <xf numFmtId="43" fontId="31" fillId="0" borderId="36" xfId="1" applyFont="1" applyFill="1" applyBorder="1"/>
    <xf numFmtId="49" fontId="32" fillId="0" borderId="37" xfId="0" applyNumberFormat="1" applyFont="1" applyBorder="1" applyAlignment="1">
      <alignment horizontal="right"/>
    </xf>
    <xf numFmtId="43" fontId="31" fillId="0" borderId="38" xfId="1" applyFont="1" applyFill="1" applyBorder="1" applyAlignment="1">
      <alignment horizontal="center"/>
    </xf>
    <xf numFmtId="43" fontId="31" fillId="0" borderId="38" xfId="1" applyFont="1" applyFill="1" applyBorder="1"/>
    <xf numFmtId="49" fontId="32" fillId="0" borderId="4" xfId="0" applyNumberFormat="1" applyFont="1" applyBorder="1" applyAlignment="1">
      <alignment horizontal="right"/>
    </xf>
    <xf numFmtId="43" fontId="31" fillId="0" borderId="5" xfId="1" applyFont="1" applyFill="1" applyBorder="1"/>
    <xf numFmtId="49" fontId="30" fillId="0" borderId="37" xfId="0" applyNumberFormat="1" applyFont="1" applyBorder="1" applyAlignment="1">
      <alignment horizontal="right"/>
    </xf>
    <xf numFmtId="43" fontId="30" fillId="0" borderId="38" xfId="1" applyFont="1" applyFill="1" applyBorder="1"/>
    <xf numFmtId="49" fontId="32" fillId="0" borderId="37" xfId="1" applyNumberFormat="1" applyFont="1" applyFill="1" applyBorder="1" applyAlignment="1">
      <alignment horizontal="right"/>
    </xf>
    <xf numFmtId="43" fontId="31" fillId="0" borderId="5" xfId="1" applyFont="1" applyFill="1" applyBorder="1" applyAlignment="1">
      <alignment horizontal="center"/>
    </xf>
    <xf numFmtId="49" fontId="32" fillId="0" borderId="37" xfId="1" quotePrefix="1" applyNumberFormat="1" applyFont="1" applyFill="1" applyBorder="1" applyAlignment="1">
      <alignment horizontal="right"/>
    </xf>
    <xf numFmtId="49" fontId="32" fillId="0" borderId="4" xfId="1" quotePrefix="1" applyNumberFormat="1" applyFont="1" applyFill="1" applyBorder="1" applyAlignment="1">
      <alignment horizontal="right"/>
    </xf>
    <xf numFmtId="49" fontId="32" fillId="0" borderId="37" xfId="0" quotePrefix="1" applyNumberFormat="1" applyFont="1" applyBorder="1" applyAlignment="1">
      <alignment horizontal="right"/>
    </xf>
    <xf numFmtId="49" fontId="33" fillId="0" borderId="37" xfId="1" applyNumberFormat="1" applyFont="1" applyFill="1" applyBorder="1" applyAlignment="1">
      <alignment horizontal="right"/>
    </xf>
    <xf numFmtId="43" fontId="34" fillId="0" borderId="38" xfId="1" applyFont="1" applyFill="1" applyBorder="1"/>
    <xf numFmtId="49" fontId="35" fillId="0" borderId="37" xfId="0" applyNumberFormat="1" applyFont="1" applyBorder="1" applyAlignment="1">
      <alignment horizontal="right"/>
    </xf>
    <xf numFmtId="43" fontId="36" fillId="0" borderId="38" xfId="1" applyFont="1" applyFill="1" applyBorder="1" applyAlignment="1">
      <alignment horizontal="center"/>
    </xf>
    <xf numFmtId="49" fontId="32" fillId="0" borderId="26" xfId="0" applyNumberFormat="1" applyFont="1" applyBorder="1" applyAlignment="1">
      <alignment horizontal="right"/>
    </xf>
    <xf numFmtId="43" fontId="31" fillId="0" borderId="29" xfId="1" applyFont="1" applyFill="1" applyBorder="1"/>
    <xf numFmtId="0" fontId="32" fillId="0" borderId="2" xfId="0" applyFont="1" applyBorder="1"/>
    <xf numFmtId="43" fontId="32" fillId="0" borderId="3" xfId="1" applyFont="1" applyFill="1" applyBorder="1"/>
    <xf numFmtId="0" fontId="32" fillId="0" borderId="4" xfId="0" applyFont="1" applyBorder="1"/>
    <xf numFmtId="43" fontId="32" fillId="0" borderId="5" xfId="1" applyFont="1" applyFill="1" applyBorder="1"/>
    <xf numFmtId="0" fontId="32" fillId="0" borderId="6" xfId="0" applyFont="1" applyBorder="1"/>
    <xf numFmtId="43" fontId="32" fillId="0" borderId="7" xfId="1" applyFont="1" applyFill="1" applyBorder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167" fontId="4" fillId="0" borderId="41" xfId="0" applyNumberFormat="1" applyFont="1" applyBorder="1" applyAlignment="1">
      <alignment horizontal="center"/>
    </xf>
    <xf numFmtId="43" fontId="4" fillId="0" borderId="41" xfId="1" applyFont="1" applyBorder="1" applyAlignment="1">
      <alignment horizontal="center"/>
    </xf>
    <xf numFmtId="43" fontId="4" fillId="0" borderId="41" xfId="1" applyFont="1" applyBorder="1"/>
    <xf numFmtId="43" fontId="3" fillId="25" borderId="1" xfId="1" applyFont="1" applyFill="1" applyBorder="1"/>
    <xf numFmtId="43" fontId="4" fillId="25" borderId="1" xfId="1" applyFont="1" applyFill="1" applyBorder="1"/>
    <xf numFmtId="0" fontId="37" fillId="0" borderId="0" xfId="0" applyFont="1"/>
    <xf numFmtId="0" fontId="38" fillId="0" borderId="0" xfId="0" applyFont="1"/>
    <xf numFmtId="0" fontId="39" fillId="5" borderId="1" xfId="0" applyFont="1" applyFill="1" applyBorder="1"/>
    <xf numFmtId="0" fontId="39" fillId="0" borderId="0" xfId="0" applyFont="1"/>
    <xf numFmtId="43" fontId="38" fillId="0" borderId="1" xfId="1" applyFont="1" applyBorder="1" applyAlignment="1"/>
    <xf numFmtId="43" fontId="38" fillId="0" borderId="0" xfId="1" applyFont="1" applyFill="1" applyBorder="1" applyAlignment="1"/>
    <xf numFmtId="167" fontId="38" fillId="2" borderId="1" xfId="0" applyNumberFormat="1" applyFont="1" applyFill="1" applyBorder="1" applyAlignment="1">
      <alignment horizontal="center"/>
    </xf>
    <xf numFmtId="167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43" fontId="38" fillId="2" borderId="1" xfId="1" applyFont="1" applyFill="1" applyBorder="1"/>
    <xf numFmtId="43" fontId="38" fillId="0" borderId="0" xfId="1" applyFont="1" applyFill="1" applyBorder="1"/>
    <xf numFmtId="167" fontId="38" fillId="0" borderId="1" xfId="0" applyNumberFormat="1" applyFont="1" applyBorder="1" applyAlignment="1">
      <alignment horizontal="center"/>
    </xf>
    <xf numFmtId="43" fontId="38" fillId="0" borderId="39" xfId="1" applyFont="1" applyFill="1" applyBorder="1"/>
    <xf numFmtId="43" fontId="38" fillId="0" borderId="1" xfId="1" applyFont="1" applyFill="1" applyBorder="1"/>
    <xf numFmtId="167" fontId="38" fillId="0" borderId="39" xfId="0" applyNumberFormat="1" applyFont="1" applyBorder="1" applyAlignment="1">
      <alignment horizontal="center"/>
    </xf>
    <xf numFmtId="0" fontId="37" fillId="0" borderId="39" xfId="0" applyFont="1" applyBorder="1"/>
    <xf numFmtId="0" fontId="37" fillId="0" borderId="1" xfId="0" applyFont="1" applyBorder="1"/>
    <xf numFmtId="167" fontId="38" fillId="0" borderId="0" xfId="0" applyNumberFormat="1" applyFont="1"/>
    <xf numFmtId="164" fontId="38" fillId="0" borderId="0" xfId="0" applyNumberFormat="1" applyFont="1"/>
    <xf numFmtId="43" fontId="38" fillId="0" borderId="0" xfId="1" applyFont="1" applyFill="1"/>
    <xf numFmtId="43" fontId="38" fillId="0" borderId="39" xfId="1" applyFont="1" applyFill="1" applyBorder="1" applyAlignment="1">
      <alignment horizontal="center"/>
    </xf>
    <xf numFmtId="43" fontId="38" fillId="0" borderId="1" xfId="1" applyFont="1" applyFill="1" applyBorder="1" applyAlignment="1">
      <alignment horizontal="center"/>
    </xf>
    <xf numFmtId="168" fontId="38" fillId="0" borderId="39" xfId="1" applyNumberFormat="1" applyFont="1" applyFill="1" applyBorder="1" applyAlignment="1">
      <alignment horizontal="center"/>
    </xf>
    <xf numFmtId="168" fontId="38" fillId="0" borderId="1" xfId="1" applyNumberFormat="1" applyFont="1" applyFill="1" applyBorder="1" applyAlignment="1">
      <alignment horizontal="center"/>
    </xf>
    <xf numFmtId="168" fontId="38" fillId="0" borderId="0" xfId="1" applyNumberFormat="1" applyFont="1" applyFill="1" applyAlignment="1">
      <alignment horizontal="center"/>
    </xf>
    <xf numFmtId="168" fontId="38" fillId="0" borderId="0" xfId="1" applyNumberFormat="1" applyFont="1" applyFill="1" applyBorder="1" applyAlignment="1">
      <alignment horizontal="center"/>
    </xf>
    <xf numFmtId="167" fontId="38" fillId="0" borderId="39" xfId="1" applyNumberFormat="1" applyFont="1" applyFill="1" applyBorder="1" applyAlignment="1">
      <alignment horizontal="center"/>
    </xf>
    <xf numFmtId="167" fontId="38" fillId="0" borderId="1" xfId="1" applyNumberFormat="1" applyFont="1" applyFill="1" applyBorder="1" applyAlignment="1">
      <alignment horizontal="center"/>
    </xf>
    <xf numFmtId="49" fontId="38" fillId="0" borderId="0" xfId="0" applyNumberFormat="1" applyFont="1" applyAlignment="1">
      <alignment horizontal="center"/>
    </xf>
    <xf numFmtId="43" fontId="40" fillId="0" borderId="0" xfId="1" applyFont="1" applyFill="1"/>
    <xf numFmtId="43" fontId="40" fillId="0" borderId="0" xfId="1" applyFont="1" applyFill="1" applyBorder="1"/>
    <xf numFmtId="167" fontId="41" fillId="0" borderId="39" xfId="0" applyNumberFormat="1" applyFont="1" applyBorder="1" applyAlignment="1">
      <alignment horizontal="center"/>
    </xf>
    <xf numFmtId="167" fontId="41" fillId="0" borderId="1" xfId="0" applyNumberFormat="1" applyFont="1" applyBorder="1" applyAlignment="1">
      <alignment horizontal="center"/>
    </xf>
    <xf numFmtId="0" fontId="41" fillId="0" borderId="0" xfId="0" applyFont="1" applyAlignment="1">
      <alignment horizontal="center"/>
    </xf>
    <xf numFmtId="43" fontId="41" fillId="0" borderId="39" xfId="1" applyFont="1" applyFill="1" applyBorder="1"/>
    <xf numFmtId="43" fontId="41" fillId="0" borderId="1" xfId="1" applyFont="1" applyFill="1" applyBorder="1"/>
    <xf numFmtId="0" fontId="41" fillId="0" borderId="0" xfId="0" applyFont="1"/>
    <xf numFmtId="43" fontId="39" fillId="0" borderId="0" xfId="1" applyFont="1" applyFill="1" applyBorder="1"/>
    <xf numFmtId="43" fontId="38" fillId="0" borderId="0" xfId="0" applyNumberFormat="1" applyFont="1"/>
    <xf numFmtId="43" fontId="38" fillId="0" borderId="0" xfId="1" applyFont="1"/>
    <xf numFmtId="9" fontId="3" fillId="0" borderId="0" xfId="1" applyNumberFormat="1" applyFont="1"/>
    <xf numFmtId="164" fontId="38" fillId="0" borderId="0" xfId="0" applyNumberFormat="1" applyFont="1" applyAlignment="1">
      <alignment horizontal="center"/>
    </xf>
    <xf numFmtId="0" fontId="4" fillId="0" borderId="10" xfId="0" applyFont="1" applyBorder="1"/>
    <xf numFmtId="43" fontId="3" fillId="0" borderId="1" xfId="0" applyNumberFormat="1" applyFont="1" applyBorder="1"/>
    <xf numFmtId="43" fontId="3" fillId="0" borderId="1" xfId="1" applyFont="1" applyFill="1" applyBorder="1" applyAlignment="1">
      <alignment horizontal="center"/>
    </xf>
    <xf numFmtId="43" fontId="4" fillId="0" borderId="1" xfId="0" applyNumberFormat="1" applyFont="1" applyBorder="1"/>
    <xf numFmtId="43" fontId="31" fillId="0" borderId="0" xfId="0" applyNumberFormat="1" applyFont="1"/>
    <xf numFmtId="164" fontId="31" fillId="0" borderId="0" xfId="0" applyNumberFormat="1" applyFont="1"/>
    <xf numFmtId="0" fontId="3" fillId="31" borderId="1" xfId="0" applyFont="1" applyFill="1" applyBorder="1"/>
    <xf numFmtId="167" fontId="3" fillId="31" borderId="1" xfId="0" applyNumberFormat="1" applyFont="1" applyFill="1" applyBorder="1" applyAlignment="1">
      <alignment horizontal="center"/>
    </xf>
    <xf numFmtId="43" fontId="3" fillId="31" borderId="1" xfId="1" quotePrefix="1" applyFont="1" applyFill="1" applyBorder="1" applyAlignment="1">
      <alignment horizontal="center"/>
    </xf>
    <xf numFmtId="43" fontId="3" fillId="31" borderId="1" xfId="1" applyFont="1" applyFill="1" applyBorder="1"/>
    <xf numFmtId="43" fontId="4" fillId="31" borderId="1" xfId="1" applyFont="1" applyFill="1" applyBorder="1"/>
    <xf numFmtId="43" fontId="3" fillId="31" borderId="8" xfId="1" applyFont="1" applyFill="1" applyBorder="1"/>
    <xf numFmtId="43" fontId="3" fillId="31" borderId="0" xfId="1" applyFont="1" applyFill="1" applyBorder="1" applyAlignment="1">
      <alignment horizontal="center"/>
    </xf>
    <xf numFmtId="0" fontId="3" fillId="31" borderId="0" xfId="0" applyFont="1" applyFill="1"/>
    <xf numFmtId="43" fontId="3" fillId="31" borderId="1" xfId="1" quotePrefix="1" applyFont="1" applyFill="1" applyBorder="1"/>
    <xf numFmtId="43" fontId="3" fillId="31" borderId="0" xfId="1" applyFont="1" applyFill="1" applyBorder="1"/>
    <xf numFmtId="43" fontId="3" fillId="31" borderId="0" xfId="1" quotePrefix="1" applyFont="1" applyFill="1" applyBorder="1" applyAlignment="1">
      <alignment horizontal="center"/>
    </xf>
    <xf numFmtId="167" fontId="26" fillId="0" borderId="1" xfId="0" applyNumberFormat="1" applyFont="1" applyBorder="1" applyAlignment="1">
      <alignment horizontal="center"/>
    </xf>
    <xf numFmtId="43" fontId="26" fillId="0" borderId="1" xfId="1" applyFont="1" applyFill="1" applyBorder="1"/>
    <xf numFmtId="43" fontId="26" fillId="0" borderId="8" xfId="1" applyFont="1" applyFill="1" applyBorder="1"/>
    <xf numFmtId="43" fontId="26" fillId="0" borderId="0" xfId="1" applyFont="1" applyFill="1" applyBorder="1" applyAlignment="1">
      <alignment horizontal="center"/>
    </xf>
    <xf numFmtId="0" fontId="26" fillId="0" borderId="0" xfId="0" applyFont="1"/>
    <xf numFmtId="43" fontId="4" fillId="31" borderId="0" xfId="1" quotePrefix="1" applyFont="1" applyFill="1" applyBorder="1" applyAlignment="1">
      <alignment horizontal="center"/>
    </xf>
    <xf numFmtId="0" fontId="22" fillId="31" borderId="1" xfId="0" applyFont="1" applyFill="1" applyBorder="1"/>
    <xf numFmtId="43" fontId="3" fillId="28" borderId="1" xfId="1" applyFont="1" applyFill="1" applyBorder="1"/>
    <xf numFmtId="43" fontId="3" fillId="33" borderId="1" xfId="1" applyFont="1" applyFill="1" applyBorder="1"/>
    <xf numFmtId="0" fontId="3" fillId="25" borderId="1" xfId="0" applyFont="1" applyFill="1" applyBorder="1"/>
    <xf numFmtId="0" fontId="3" fillId="25" borderId="1" xfId="0" applyFont="1" applyFill="1" applyBorder="1" applyAlignment="1">
      <alignment horizontal="center"/>
    </xf>
    <xf numFmtId="167" fontId="3" fillId="25" borderId="1" xfId="0" applyNumberFormat="1" applyFont="1" applyFill="1" applyBorder="1" applyAlignment="1">
      <alignment horizontal="center"/>
    </xf>
    <xf numFmtId="167" fontId="3" fillId="33" borderId="1" xfId="0" applyNumberFormat="1" applyFont="1" applyFill="1" applyBorder="1" applyAlignment="1">
      <alignment horizontal="center"/>
    </xf>
    <xf numFmtId="0" fontId="22" fillId="25" borderId="1" xfId="0" applyFont="1" applyFill="1" applyBorder="1"/>
    <xf numFmtId="0" fontId="26" fillId="25" borderId="1" xfId="0" applyFont="1" applyFill="1" applyBorder="1" applyAlignment="1">
      <alignment horizontal="center"/>
    </xf>
    <xf numFmtId="49" fontId="22" fillId="25" borderId="1" xfId="0" applyNumberFormat="1" applyFont="1" applyFill="1" applyBorder="1"/>
    <xf numFmtId="0" fontId="3" fillId="25" borderId="1" xfId="0" quotePrefix="1" applyFont="1" applyFill="1" applyBorder="1"/>
    <xf numFmtId="0" fontId="3" fillId="25" borderId="1" xfId="0" applyFont="1" applyFill="1" applyBorder="1" applyAlignment="1">
      <alignment horizontal="left"/>
    </xf>
    <xf numFmtId="49" fontId="17" fillId="25" borderId="1" xfId="0" applyNumberFormat="1" applyFont="1" applyFill="1" applyBorder="1"/>
    <xf numFmtId="0" fontId="3" fillId="25" borderId="11" xfId="0" applyFont="1" applyFill="1" applyBorder="1"/>
    <xf numFmtId="49" fontId="17" fillId="25" borderId="19" xfId="0" applyNumberFormat="1" applyFont="1" applyFill="1" applyBorder="1"/>
    <xf numFmtId="0" fontId="26" fillId="25" borderId="1" xfId="0" applyFont="1" applyFill="1" applyBorder="1" applyAlignment="1">
      <alignment horizontal="left"/>
    </xf>
    <xf numFmtId="49" fontId="26" fillId="25" borderId="1" xfId="0" applyNumberFormat="1" applyFont="1" applyFill="1" applyBorder="1"/>
    <xf numFmtId="167" fontId="26" fillId="34" borderId="1" xfId="0" applyNumberFormat="1" applyFont="1" applyFill="1" applyBorder="1" applyAlignment="1">
      <alignment horizontal="center"/>
    </xf>
    <xf numFmtId="49" fontId="16" fillId="25" borderId="1" xfId="0" applyNumberFormat="1" applyFont="1" applyFill="1" applyBorder="1"/>
    <xf numFmtId="49" fontId="3" fillId="25" borderId="1" xfId="0" applyNumberFormat="1" applyFont="1" applyFill="1" applyBorder="1"/>
    <xf numFmtId="0" fontId="22" fillId="25" borderId="1" xfId="0" quotePrefix="1" applyFont="1" applyFill="1" applyBorder="1"/>
    <xf numFmtId="0" fontId="4" fillId="25" borderId="1" xfId="0" applyFont="1" applyFill="1" applyBorder="1" applyAlignment="1">
      <alignment horizontal="center"/>
    </xf>
    <xf numFmtId="43" fontId="3" fillId="35" borderId="1" xfId="1" applyFont="1" applyFill="1" applyBorder="1"/>
    <xf numFmtId="43" fontId="4" fillId="35" borderId="1" xfId="1" applyFont="1" applyFill="1" applyBorder="1"/>
    <xf numFmtId="0" fontId="4" fillId="25" borderId="1" xfId="0" applyFont="1" applyFill="1" applyBorder="1"/>
    <xf numFmtId="0" fontId="16" fillId="25" borderId="1" xfId="0" applyFont="1" applyFill="1" applyBorder="1"/>
    <xf numFmtId="0" fontId="3" fillId="25" borderId="37" xfId="0" applyFont="1" applyFill="1" applyBorder="1"/>
    <xf numFmtId="0" fontId="3" fillId="34" borderId="1" xfId="0" applyFont="1" applyFill="1" applyBorder="1"/>
    <xf numFmtId="0" fontId="3" fillId="34" borderId="1" xfId="0" applyFont="1" applyFill="1" applyBorder="1" applyAlignment="1">
      <alignment horizontal="center"/>
    </xf>
    <xf numFmtId="167" fontId="3" fillId="34" borderId="1" xfId="0" applyNumberFormat="1" applyFont="1" applyFill="1" applyBorder="1" applyAlignment="1">
      <alignment horizontal="center"/>
    </xf>
    <xf numFmtId="0" fontId="26" fillId="34" borderId="1" xfId="0" applyFont="1" applyFill="1" applyBorder="1" applyAlignment="1">
      <alignment horizontal="left"/>
    </xf>
    <xf numFmtId="49" fontId="26" fillId="34" borderId="1" xfId="0" applyNumberFormat="1" applyFont="1" applyFill="1" applyBorder="1"/>
    <xf numFmtId="0" fontId="3" fillId="34" borderId="1" xfId="0" applyFont="1" applyFill="1" applyBorder="1" applyAlignment="1">
      <alignment horizontal="left"/>
    </xf>
    <xf numFmtId="49" fontId="17" fillId="34" borderId="1" xfId="0" applyNumberFormat="1" applyFont="1" applyFill="1" applyBorder="1"/>
    <xf numFmtId="0" fontId="3" fillId="32" borderId="1" xfId="0" applyFont="1" applyFill="1" applyBorder="1"/>
    <xf numFmtId="0" fontId="3" fillId="32" borderId="1" xfId="0" applyFont="1" applyFill="1" applyBorder="1" applyAlignment="1">
      <alignment horizontal="center"/>
    </xf>
    <xf numFmtId="0" fontId="26" fillId="32" borderId="1" xfId="0" applyFont="1" applyFill="1" applyBorder="1" applyAlignment="1">
      <alignment horizontal="left"/>
    </xf>
    <xf numFmtId="49" fontId="26" fillId="32" borderId="1" xfId="0" applyNumberFormat="1" applyFont="1" applyFill="1" applyBorder="1"/>
    <xf numFmtId="49" fontId="16" fillId="32" borderId="1" xfId="0" applyNumberFormat="1" applyFont="1" applyFill="1" applyBorder="1"/>
    <xf numFmtId="0" fontId="22" fillId="32" borderId="1" xfId="0" applyFont="1" applyFill="1" applyBorder="1"/>
    <xf numFmtId="43" fontId="3" fillId="36" borderId="1" xfId="1" quotePrefix="1" applyFont="1" applyFill="1" applyBorder="1"/>
    <xf numFmtId="43" fontId="26" fillId="36" borderId="1" xfId="1" quotePrefix="1" applyFont="1" applyFill="1" applyBorder="1"/>
    <xf numFmtId="43" fontId="3" fillId="36" borderId="1" xfId="1" quotePrefix="1" applyFont="1" applyFill="1" applyBorder="1" applyAlignment="1">
      <alignment horizontal="center"/>
    </xf>
    <xf numFmtId="43" fontId="3" fillId="33" borderId="1" xfId="1" quotePrefix="1" applyFont="1" applyFill="1" applyBorder="1"/>
    <xf numFmtId="43" fontId="4" fillId="36" borderId="1" xfId="1" quotePrefix="1" applyFont="1" applyFill="1" applyBorder="1"/>
    <xf numFmtId="0" fontId="3" fillId="25" borderId="0" xfId="0" applyFont="1" applyFill="1"/>
    <xf numFmtId="43" fontId="3" fillId="32" borderId="1" xfId="1" applyFont="1" applyFill="1" applyBorder="1"/>
    <xf numFmtId="43" fontId="3" fillId="37" borderId="1" xfId="1" quotePrefix="1" applyFont="1" applyFill="1" applyBorder="1"/>
    <xf numFmtId="43" fontId="3" fillId="37" borderId="1" xfId="1" applyFont="1" applyFill="1" applyBorder="1"/>
    <xf numFmtId="43" fontId="26" fillId="37" borderId="1" xfId="1" applyFont="1" applyFill="1" applyBorder="1"/>
    <xf numFmtId="43" fontId="4" fillId="37" borderId="1" xfId="1" applyFont="1" applyFill="1" applyBorder="1"/>
    <xf numFmtId="165" fontId="4" fillId="24" borderId="11" xfId="0" applyNumberFormat="1" applyFont="1" applyFill="1" applyBorder="1" applyAlignment="1">
      <alignment horizontal="center"/>
    </xf>
    <xf numFmtId="165" fontId="4" fillId="24" borderId="16" xfId="0" applyNumberFormat="1" applyFont="1" applyFill="1" applyBorder="1" applyAlignment="1">
      <alignment horizontal="center"/>
    </xf>
    <xf numFmtId="165" fontId="4" fillId="24" borderId="12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3" fillId="38" borderId="1" xfId="0" applyFont="1" applyFill="1" applyBorder="1" applyAlignment="1">
      <alignment horizontal="left"/>
    </xf>
    <xf numFmtId="0" fontId="3" fillId="38" borderId="0" xfId="0" applyFont="1" applyFill="1"/>
    <xf numFmtId="0" fontId="3" fillId="38" borderId="1" xfId="0" applyFont="1" applyFill="1" applyBorder="1"/>
    <xf numFmtId="0" fontId="3" fillId="38" borderId="10" xfId="0" applyFont="1" applyFill="1" applyBorder="1"/>
    <xf numFmtId="43" fontId="26" fillId="28" borderId="1" xfId="1" applyFont="1" applyFill="1" applyBorder="1"/>
    <xf numFmtId="10" fontId="3" fillId="0" borderId="0" xfId="1" applyNumberFormat="1" applyFont="1"/>
    <xf numFmtId="165" fontId="4" fillId="24" borderId="11" xfId="0" applyNumberFormat="1" applyFont="1" applyFill="1" applyBorder="1" applyAlignment="1">
      <alignment horizontal="center"/>
    </xf>
    <xf numFmtId="165" fontId="4" fillId="24" borderId="16" xfId="0" applyNumberFormat="1" applyFont="1" applyFill="1" applyBorder="1" applyAlignment="1">
      <alignment horizontal="center"/>
    </xf>
    <xf numFmtId="165" fontId="4" fillId="24" borderId="12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6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  <xf numFmtId="0" fontId="3" fillId="25" borderId="0" xfId="0" applyFont="1" applyFill="1" applyBorder="1"/>
    <xf numFmtId="0" fontId="0" fillId="28" borderId="1" xfId="0" applyFill="1" applyBorder="1"/>
    <xf numFmtId="0" fontId="0" fillId="0" borderId="1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5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27.xml"/><Relationship Id="rId138" Type="http://schemas.openxmlformats.org/officeDocument/2006/relationships/revisionLog" Target="revisionLog48.xml"/><Relationship Id="rId159" Type="http://schemas.openxmlformats.org/officeDocument/2006/relationships/revisionLog" Target="revisionLog69.xml"/><Relationship Id="rId170" Type="http://schemas.openxmlformats.org/officeDocument/2006/relationships/revisionLog" Target="revisionLog80.xml"/><Relationship Id="rId191" Type="http://schemas.openxmlformats.org/officeDocument/2006/relationships/revisionLog" Target="revisionLog101.xml"/><Relationship Id="rId205" Type="http://schemas.openxmlformats.org/officeDocument/2006/relationships/revisionLog" Target="revisionLog115.xml"/><Relationship Id="rId226" Type="http://schemas.openxmlformats.org/officeDocument/2006/relationships/revisionLog" Target="revisionLog136.xml"/><Relationship Id="rId247" Type="http://schemas.openxmlformats.org/officeDocument/2006/relationships/revisionLog" Target="revisionLog157.xml"/><Relationship Id="rId107" Type="http://schemas.openxmlformats.org/officeDocument/2006/relationships/revisionLog" Target="revisionLog17.xml"/><Relationship Id="rId268" Type="http://schemas.openxmlformats.org/officeDocument/2006/relationships/revisionLog" Target="revisionLog178.xml"/><Relationship Id="rId128" Type="http://schemas.openxmlformats.org/officeDocument/2006/relationships/revisionLog" Target="revisionLog38.xml"/><Relationship Id="rId149" Type="http://schemas.openxmlformats.org/officeDocument/2006/relationships/revisionLog" Target="revisionLog59.xml"/><Relationship Id="rId95" Type="http://schemas.openxmlformats.org/officeDocument/2006/relationships/revisionLog" Target="revisionLog3.xml"/><Relationship Id="rId160" Type="http://schemas.openxmlformats.org/officeDocument/2006/relationships/revisionLog" Target="revisionLog70.xml"/><Relationship Id="rId181" Type="http://schemas.openxmlformats.org/officeDocument/2006/relationships/revisionLog" Target="revisionLog91.xml"/><Relationship Id="rId216" Type="http://schemas.openxmlformats.org/officeDocument/2006/relationships/revisionLog" Target="revisionLog126.xml"/><Relationship Id="rId237" Type="http://schemas.openxmlformats.org/officeDocument/2006/relationships/revisionLog" Target="revisionLog147.xml"/><Relationship Id="rId258" Type="http://schemas.openxmlformats.org/officeDocument/2006/relationships/revisionLog" Target="revisionLog168.xml"/><Relationship Id="rId279" Type="http://schemas.openxmlformats.org/officeDocument/2006/relationships/revisionLog" Target="revisionLog189.xml"/><Relationship Id="rId118" Type="http://schemas.openxmlformats.org/officeDocument/2006/relationships/revisionLog" Target="revisionLog28.xml"/><Relationship Id="rId139" Type="http://schemas.openxmlformats.org/officeDocument/2006/relationships/revisionLog" Target="revisionLog49.xml"/><Relationship Id="rId150" Type="http://schemas.openxmlformats.org/officeDocument/2006/relationships/revisionLog" Target="revisionLog60.xml"/><Relationship Id="rId171" Type="http://schemas.openxmlformats.org/officeDocument/2006/relationships/revisionLog" Target="revisionLog81.xml"/><Relationship Id="rId192" Type="http://schemas.openxmlformats.org/officeDocument/2006/relationships/revisionLog" Target="revisionLog102.xml"/><Relationship Id="rId206" Type="http://schemas.openxmlformats.org/officeDocument/2006/relationships/revisionLog" Target="revisionLog116.xml"/><Relationship Id="rId227" Type="http://schemas.openxmlformats.org/officeDocument/2006/relationships/revisionLog" Target="revisionLog137.xml"/><Relationship Id="rId248" Type="http://schemas.openxmlformats.org/officeDocument/2006/relationships/revisionLog" Target="revisionLog158.xml"/><Relationship Id="rId269" Type="http://schemas.openxmlformats.org/officeDocument/2006/relationships/revisionLog" Target="revisionLog179.xml"/><Relationship Id="rId108" Type="http://schemas.openxmlformats.org/officeDocument/2006/relationships/revisionLog" Target="revisionLog18.xml"/><Relationship Id="rId129" Type="http://schemas.openxmlformats.org/officeDocument/2006/relationships/revisionLog" Target="revisionLog39.xml"/><Relationship Id="rId280" Type="http://schemas.openxmlformats.org/officeDocument/2006/relationships/revisionLog" Target="revisionLog190.xml"/><Relationship Id="rId96" Type="http://schemas.openxmlformats.org/officeDocument/2006/relationships/revisionLog" Target="revisionLog4.xml"/><Relationship Id="rId140" Type="http://schemas.openxmlformats.org/officeDocument/2006/relationships/revisionLog" Target="revisionLog50.xml"/><Relationship Id="rId161" Type="http://schemas.openxmlformats.org/officeDocument/2006/relationships/revisionLog" Target="revisionLog71.xml"/><Relationship Id="rId182" Type="http://schemas.openxmlformats.org/officeDocument/2006/relationships/revisionLog" Target="revisionLog92.xml"/><Relationship Id="rId217" Type="http://schemas.openxmlformats.org/officeDocument/2006/relationships/revisionLog" Target="revisionLog127.xml"/><Relationship Id="rId238" Type="http://schemas.openxmlformats.org/officeDocument/2006/relationships/revisionLog" Target="revisionLog148.xml"/><Relationship Id="rId259" Type="http://schemas.openxmlformats.org/officeDocument/2006/relationships/revisionLog" Target="revisionLog169.xml"/><Relationship Id="rId119" Type="http://schemas.openxmlformats.org/officeDocument/2006/relationships/revisionLog" Target="revisionLog29.xml"/><Relationship Id="rId270" Type="http://schemas.openxmlformats.org/officeDocument/2006/relationships/revisionLog" Target="revisionLog180.xml"/><Relationship Id="rId130" Type="http://schemas.openxmlformats.org/officeDocument/2006/relationships/revisionLog" Target="revisionLog40.xml"/><Relationship Id="rId151" Type="http://schemas.openxmlformats.org/officeDocument/2006/relationships/revisionLog" Target="revisionLog61.xml"/><Relationship Id="rId172" Type="http://schemas.openxmlformats.org/officeDocument/2006/relationships/revisionLog" Target="revisionLog82.xml"/><Relationship Id="rId193" Type="http://schemas.openxmlformats.org/officeDocument/2006/relationships/revisionLog" Target="revisionLog103.xml"/><Relationship Id="rId207" Type="http://schemas.openxmlformats.org/officeDocument/2006/relationships/revisionLog" Target="revisionLog117.xml"/><Relationship Id="rId228" Type="http://schemas.openxmlformats.org/officeDocument/2006/relationships/revisionLog" Target="revisionLog138.xml"/><Relationship Id="rId249" Type="http://schemas.openxmlformats.org/officeDocument/2006/relationships/revisionLog" Target="revisionLog159.xml"/><Relationship Id="rId109" Type="http://schemas.openxmlformats.org/officeDocument/2006/relationships/revisionLog" Target="revisionLog19.xml"/><Relationship Id="rId260" Type="http://schemas.openxmlformats.org/officeDocument/2006/relationships/revisionLog" Target="revisionLog170.xml"/><Relationship Id="rId265" Type="http://schemas.openxmlformats.org/officeDocument/2006/relationships/revisionLog" Target="revisionLog175.xml"/><Relationship Id="rId97" Type="http://schemas.openxmlformats.org/officeDocument/2006/relationships/revisionLog" Target="revisionLog5.xml"/><Relationship Id="rId104" Type="http://schemas.openxmlformats.org/officeDocument/2006/relationships/revisionLog" Target="revisionLog14.xml"/><Relationship Id="rId120" Type="http://schemas.openxmlformats.org/officeDocument/2006/relationships/revisionLog" Target="revisionLog30.xml"/><Relationship Id="rId125" Type="http://schemas.openxmlformats.org/officeDocument/2006/relationships/revisionLog" Target="revisionLog35.xml"/><Relationship Id="rId141" Type="http://schemas.openxmlformats.org/officeDocument/2006/relationships/revisionLog" Target="revisionLog51.xml"/><Relationship Id="rId146" Type="http://schemas.openxmlformats.org/officeDocument/2006/relationships/revisionLog" Target="revisionLog56.xml"/><Relationship Id="rId167" Type="http://schemas.openxmlformats.org/officeDocument/2006/relationships/revisionLog" Target="revisionLog77.xml"/><Relationship Id="rId188" Type="http://schemas.openxmlformats.org/officeDocument/2006/relationships/revisionLog" Target="revisionLog98.xml"/><Relationship Id="rId92" Type="http://schemas.openxmlformats.org/officeDocument/2006/relationships/revisionLog" Target="revisionLog12.xml"/><Relationship Id="rId162" Type="http://schemas.openxmlformats.org/officeDocument/2006/relationships/revisionLog" Target="revisionLog72.xml"/><Relationship Id="rId183" Type="http://schemas.openxmlformats.org/officeDocument/2006/relationships/revisionLog" Target="revisionLog93.xml"/><Relationship Id="rId213" Type="http://schemas.openxmlformats.org/officeDocument/2006/relationships/revisionLog" Target="revisionLog123.xml"/><Relationship Id="rId218" Type="http://schemas.openxmlformats.org/officeDocument/2006/relationships/revisionLog" Target="revisionLog128.xml"/><Relationship Id="rId234" Type="http://schemas.openxmlformats.org/officeDocument/2006/relationships/revisionLog" Target="revisionLog144.xml"/><Relationship Id="rId239" Type="http://schemas.openxmlformats.org/officeDocument/2006/relationships/revisionLog" Target="revisionLog149.xml"/><Relationship Id="rId250" Type="http://schemas.openxmlformats.org/officeDocument/2006/relationships/revisionLog" Target="revisionLog160.xml"/><Relationship Id="rId255" Type="http://schemas.openxmlformats.org/officeDocument/2006/relationships/revisionLog" Target="revisionLog165.xml"/><Relationship Id="rId271" Type="http://schemas.openxmlformats.org/officeDocument/2006/relationships/revisionLog" Target="revisionLog181.xml"/><Relationship Id="rId276" Type="http://schemas.openxmlformats.org/officeDocument/2006/relationships/revisionLog" Target="revisionLog186.xml"/><Relationship Id="rId110" Type="http://schemas.openxmlformats.org/officeDocument/2006/relationships/revisionLog" Target="revisionLog20.xml"/><Relationship Id="rId115" Type="http://schemas.openxmlformats.org/officeDocument/2006/relationships/revisionLog" Target="revisionLog25.xml"/><Relationship Id="rId131" Type="http://schemas.openxmlformats.org/officeDocument/2006/relationships/revisionLog" Target="revisionLog41.xml"/><Relationship Id="rId136" Type="http://schemas.openxmlformats.org/officeDocument/2006/relationships/revisionLog" Target="revisionLog46.xml"/><Relationship Id="rId157" Type="http://schemas.openxmlformats.org/officeDocument/2006/relationships/revisionLog" Target="revisionLog67.xml"/><Relationship Id="rId178" Type="http://schemas.openxmlformats.org/officeDocument/2006/relationships/revisionLog" Target="revisionLog88.xml"/><Relationship Id="rId152" Type="http://schemas.openxmlformats.org/officeDocument/2006/relationships/revisionLog" Target="revisionLog62.xml"/><Relationship Id="rId173" Type="http://schemas.openxmlformats.org/officeDocument/2006/relationships/revisionLog" Target="revisionLog83.xml"/><Relationship Id="rId194" Type="http://schemas.openxmlformats.org/officeDocument/2006/relationships/revisionLog" Target="revisionLog104.xml"/><Relationship Id="rId199" Type="http://schemas.openxmlformats.org/officeDocument/2006/relationships/revisionLog" Target="revisionLog109.xml"/><Relationship Id="rId203" Type="http://schemas.openxmlformats.org/officeDocument/2006/relationships/revisionLog" Target="revisionLog113.xml"/><Relationship Id="rId208" Type="http://schemas.openxmlformats.org/officeDocument/2006/relationships/revisionLog" Target="revisionLog118.xml"/><Relationship Id="rId229" Type="http://schemas.openxmlformats.org/officeDocument/2006/relationships/revisionLog" Target="revisionLog139.xml"/><Relationship Id="rId224" Type="http://schemas.openxmlformats.org/officeDocument/2006/relationships/revisionLog" Target="revisionLog134.xml"/><Relationship Id="rId240" Type="http://schemas.openxmlformats.org/officeDocument/2006/relationships/revisionLog" Target="revisionLog150.xml"/><Relationship Id="rId245" Type="http://schemas.openxmlformats.org/officeDocument/2006/relationships/revisionLog" Target="revisionLog155.xml"/><Relationship Id="rId261" Type="http://schemas.openxmlformats.org/officeDocument/2006/relationships/revisionLog" Target="revisionLog171.xml"/><Relationship Id="rId266" Type="http://schemas.openxmlformats.org/officeDocument/2006/relationships/revisionLog" Target="revisionLog176.xml"/><Relationship Id="rId100" Type="http://schemas.openxmlformats.org/officeDocument/2006/relationships/revisionLog" Target="revisionLog8.xml"/><Relationship Id="rId105" Type="http://schemas.openxmlformats.org/officeDocument/2006/relationships/revisionLog" Target="revisionLog15.xml"/><Relationship Id="rId126" Type="http://schemas.openxmlformats.org/officeDocument/2006/relationships/revisionLog" Target="revisionLog36.xml"/><Relationship Id="rId147" Type="http://schemas.openxmlformats.org/officeDocument/2006/relationships/revisionLog" Target="revisionLog57.xml"/><Relationship Id="rId168" Type="http://schemas.openxmlformats.org/officeDocument/2006/relationships/revisionLog" Target="revisionLog78.xml"/><Relationship Id="rId93" Type="http://schemas.openxmlformats.org/officeDocument/2006/relationships/revisionLog" Target="revisionLog1.xml"/><Relationship Id="rId98" Type="http://schemas.openxmlformats.org/officeDocument/2006/relationships/revisionLog" Target="revisionLog6.xml"/><Relationship Id="rId121" Type="http://schemas.openxmlformats.org/officeDocument/2006/relationships/revisionLog" Target="revisionLog31.xml"/><Relationship Id="rId142" Type="http://schemas.openxmlformats.org/officeDocument/2006/relationships/revisionLog" Target="revisionLog52.xml"/><Relationship Id="rId163" Type="http://schemas.openxmlformats.org/officeDocument/2006/relationships/revisionLog" Target="revisionLog73.xml"/><Relationship Id="rId184" Type="http://schemas.openxmlformats.org/officeDocument/2006/relationships/revisionLog" Target="revisionLog94.xml"/><Relationship Id="rId189" Type="http://schemas.openxmlformats.org/officeDocument/2006/relationships/revisionLog" Target="revisionLog99.xml"/><Relationship Id="rId219" Type="http://schemas.openxmlformats.org/officeDocument/2006/relationships/revisionLog" Target="revisionLog129.xml"/><Relationship Id="rId214" Type="http://schemas.openxmlformats.org/officeDocument/2006/relationships/revisionLog" Target="revisionLog124.xml"/><Relationship Id="rId230" Type="http://schemas.openxmlformats.org/officeDocument/2006/relationships/revisionLog" Target="revisionLog140.xml"/><Relationship Id="rId235" Type="http://schemas.openxmlformats.org/officeDocument/2006/relationships/revisionLog" Target="revisionLog145.xml"/><Relationship Id="rId251" Type="http://schemas.openxmlformats.org/officeDocument/2006/relationships/revisionLog" Target="revisionLog161.xml"/><Relationship Id="rId256" Type="http://schemas.openxmlformats.org/officeDocument/2006/relationships/revisionLog" Target="revisionLog166.xml"/><Relationship Id="rId277" Type="http://schemas.openxmlformats.org/officeDocument/2006/relationships/revisionLog" Target="revisionLog187.xml"/><Relationship Id="rId116" Type="http://schemas.openxmlformats.org/officeDocument/2006/relationships/revisionLog" Target="revisionLog26.xml"/><Relationship Id="rId137" Type="http://schemas.openxmlformats.org/officeDocument/2006/relationships/revisionLog" Target="revisionLog47.xml"/><Relationship Id="rId158" Type="http://schemas.openxmlformats.org/officeDocument/2006/relationships/revisionLog" Target="revisionLog68.xml"/><Relationship Id="rId272" Type="http://schemas.openxmlformats.org/officeDocument/2006/relationships/revisionLog" Target="revisionLog182.xml"/><Relationship Id="rId111" Type="http://schemas.openxmlformats.org/officeDocument/2006/relationships/revisionLog" Target="revisionLog21.xml"/><Relationship Id="rId132" Type="http://schemas.openxmlformats.org/officeDocument/2006/relationships/revisionLog" Target="revisionLog42.xml"/><Relationship Id="rId153" Type="http://schemas.openxmlformats.org/officeDocument/2006/relationships/revisionLog" Target="revisionLog63.xml"/><Relationship Id="rId174" Type="http://schemas.openxmlformats.org/officeDocument/2006/relationships/revisionLog" Target="revisionLog84.xml"/><Relationship Id="rId179" Type="http://schemas.openxmlformats.org/officeDocument/2006/relationships/revisionLog" Target="revisionLog89.xml"/><Relationship Id="rId195" Type="http://schemas.openxmlformats.org/officeDocument/2006/relationships/revisionLog" Target="revisionLog105.xml"/><Relationship Id="rId209" Type="http://schemas.openxmlformats.org/officeDocument/2006/relationships/revisionLog" Target="revisionLog119.xml"/><Relationship Id="rId190" Type="http://schemas.openxmlformats.org/officeDocument/2006/relationships/revisionLog" Target="revisionLog100.xml"/><Relationship Id="rId204" Type="http://schemas.openxmlformats.org/officeDocument/2006/relationships/revisionLog" Target="revisionLog114.xml"/><Relationship Id="rId220" Type="http://schemas.openxmlformats.org/officeDocument/2006/relationships/revisionLog" Target="revisionLog130.xml"/><Relationship Id="rId225" Type="http://schemas.openxmlformats.org/officeDocument/2006/relationships/revisionLog" Target="revisionLog135.xml"/><Relationship Id="rId241" Type="http://schemas.openxmlformats.org/officeDocument/2006/relationships/revisionLog" Target="revisionLog151.xml"/><Relationship Id="rId246" Type="http://schemas.openxmlformats.org/officeDocument/2006/relationships/revisionLog" Target="revisionLog156.xml"/><Relationship Id="rId267" Type="http://schemas.openxmlformats.org/officeDocument/2006/relationships/revisionLog" Target="revisionLog177.xml"/><Relationship Id="rId106" Type="http://schemas.openxmlformats.org/officeDocument/2006/relationships/revisionLog" Target="revisionLog16.xml"/><Relationship Id="rId127" Type="http://schemas.openxmlformats.org/officeDocument/2006/relationships/revisionLog" Target="revisionLog37.xml"/><Relationship Id="rId262" Type="http://schemas.openxmlformats.org/officeDocument/2006/relationships/revisionLog" Target="revisionLog172.xml"/><Relationship Id="rId94" Type="http://schemas.openxmlformats.org/officeDocument/2006/relationships/revisionLog" Target="revisionLog2.xml"/><Relationship Id="rId99" Type="http://schemas.openxmlformats.org/officeDocument/2006/relationships/revisionLog" Target="revisionLog7.xml"/><Relationship Id="rId101" Type="http://schemas.openxmlformats.org/officeDocument/2006/relationships/revisionLog" Target="revisionLog9.xml"/><Relationship Id="rId122" Type="http://schemas.openxmlformats.org/officeDocument/2006/relationships/revisionLog" Target="revisionLog32.xml"/><Relationship Id="rId143" Type="http://schemas.openxmlformats.org/officeDocument/2006/relationships/revisionLog" Target="revisionLog53.xml"/><Relationship Id="rId148" Type="http://schemas.openxmlformats.org/officeDocument/2006/relationships/revisionLog" Target="revisionLog58.xml"/><Relationship Id="rId164" Type="http://schemas.openxmlformats.org/officeDocument/2006/relationships/revisionLog" Target="revisionLog74.xml"/><Relationship Id="rId169" Type="http://schemas.openxmlformats.org/officeDocument/2006/relationships/revisionLog" Target="revisionLog79.xml"/><Relationship Id="rId185" Type="http://schemas.openxmlformats.org/officeDocument/2006/relationships/revisionLog" Target="revisionLog95.xml"/><Relationship Id="rId180" Type="http://schemas.openxmlformats.org/officeDocument/2006/relationships/revisionLog" Target="revisionLog90.xml"/><Relationship Id="rId210" Type="http://schemas.openxmlformats.org/officeDocument/2006/relationships/revisionLog" Target="revisionLog120.xml"/><Relationship Id="rId215" Type="http://schemas.openxmlformats.org/officeDocument/2006/relationships/revisionLog" Target="revisionLog125.xml"/><Relationship Id="rId236" Type="http://schemas.openxmlformats.org/officeDocument/2006/relationships/revisionLog" Target="revisionLog146.xml"/><Relationship Id="rId257" Type="http://schemas.openxmlformats.org/officeDocument/2006/relationships/revisionLog" Target="revisionLog167.xml"/><Relationship Id="rId278" Type="http://schemas.openxmlformats.org/officeDocument/2006/relationships/revisionLog" Target="revisionLog188.xml"/><Relationship Id="rId231" Type="http://schemas.openxmlformats.org/officeDocument/2006/relationships/revisionLog" Target="revisionLog141.xml"/><Relationship Id="rId252" Type="http://schemas.openxmlformats.org/officeDocument/2006/relationships/revisionLog" Target="revisionLog162.xml"/><Relationship Id="rId273" Type="http://schemas.openxmlformats.org/officeDocument/2006/relationships/revisionLog" Target="revisionLog183.xml"/><Relationship Id="rId112" Type="http://schemas.openxmlformats.org/officeDocument/2006/relationships/revisionLog" Target="revisionLog22.xml"/><Relationship Id="rId133" Type="http://schemas.openxmlformats.org/officeDocument/2006/relationships/revisionLog" Target="revisionLog43.xml"/><Relationship Id="rId154" Type="http://schemas.openxmlformats.org/officeDocument/2006/relationships/revisionLog" Target="revisionLog64.xml"/><Relationship Id="rId175" Type="http://schemas.openxmlformats.org/officeDocument/2006/relationships/revisionLog" Target="revisionLog85.xml"/><Relationship Id="rId196" Type="http://schemas.openxmlformats.org/officeDocument/2006/relationships/revisionLog" Target="revisionLog106.xml"/><Relationship Id="rId200" Type="http://schemas.openxmlformats.org/officeDocument/2006/relationships/revisionLog" Target="revisionLog110.xml"/><Relationship Id="rId221" Type="http://schemas.openxmlformats.org/officeDocument/2006/relationships/revisionLog" Target="revisionLog131.xml"/><Relationship Id="rId242" Type="http://schemas.openxmlformats.org/officeDocument/2006/relationships/revisionLog" Target="revisionLog152.xml"/><Relationship Id="rId263" Type="http://schemas.openxmlformats.org/officeDocument/2006/relationships/revisionLog" Target="revisionLog173.xml"/><Relationship Id="rId102" Type="http://schemas.openxmlformats.org/officeDocument/2006/relationships/revisionLog" Target="revisionLog10.xml"/><Relationship Id="rId123" Type="http://schemas.openxmlformats.org/officeDocument/2006/relationships/revisionLog" Target="revisionLog33.xml"/><Relationship Id="rId144" Type="http://schemas.openxmlformats.org/officeDocument/2006/relationships/revisionLog" Target="revisionLog54.xml"/><Relationship Id="rId165" Type="http://schemas.openxmlformats.org/officeDocument/2006/relationships/revisionLog" Target="revisionLog75.xml"/><Relationship Id="rId186" Type="http://schemas.openxmlformats.org/officeDocument/2006/relationships/revisionLog" Target="revisionLog96.xml"/><Relationship Id="rId211" Type="http://schemas.openxmlformats.org/officeDocument/2006/relationships/revisionLog" Target="revisionLog121.xml"/><Relationship Id="rId232" Type="http://schemas.openxmlformats.org/officeDocument/2006/relationships/revisionLog" Target="revisionLog142.xml"/><Relationship Id="rId253" Type="http://schemas.openxmlformats.org/officeDocument/2006/relationships/revisionLog" Target="revisionLog163.xml"/><Relationship Id="rId274" Type="http://schemas.openxmlformats.org/officeDocument/2006/relationships/revisionLog" Target="revisionLog184.xml"/><Relationship Id="rId113" Type="http://schemas.openxmlformats.org/officeDocument/2006/relationships/revisionLog" Target="revisionLog23.xml"/><Relationship Id="rId134" Type="http://schemas.openxmlformats.org/officeDocument/2006/relationships/revisionLog" Target="revisionLog44.xml"/><Relationship Id="rId155" Type="http://schemas.openxmlformats.org/officeDocument/2006/relationships/revisionLog" Target="revisionLog65.xml"/><Relationship Id="rId176" Type="http://schemas.openxmlformats.org/officeDocument/2006/relationships/revisionLog" Target="revisionLog86.xml"/><Relationship Id="rId197" Type="http://schemas.openxmlformats.org/officeDocument/2006/relationships/revisionLog" Target="revisionLog107.xml"/><Relationship Id="rId201" Type="http://schemas.openxmlformats.org/officeDocument/2006/relationships/revisionLog" Target="revisionLog111.xml"/><Relationship Id="rId222" Type="http://schemas.openxmlformats.org/officeDocument/2006/relationships/revisionLog" Target="revisionLog132.xml"/><Relationship Id="rId243" Type="http://schemas.openxmlformats.org/officeDocument/2006/relationships/revisionLog" Target="revisionLog153.xml"/><Relationship Id="rId264" Type="http://schemas.openxmlformats.org/officeDocument/2006/relationships/revisionLog" Target="revisionLog174.xml"/><Relationship Id="rId103" Type="http://schemas.openxmlformats.org/officeDocument/2006/relationships/revisionLog" Target="revisionLog13.xml"/><Relationship Id="rId124" Type="http://schemas.openxmlformats.org/officeDocument/2006/relationships/revisionLog" Target="revisionLog34.xml"/><Relationship Id="rId91" Type="http://schemas.openxmlformats.org/officeDocument/2006/relationships/revisionLog" Target="revisionLog11.xml"/><Relationship Id="rId145" Type="http://schemas.openxmlformats.org/officeDocument/2006/relationships/revisionLog" Target="revisionLog55.xml"/><Relationship Id="rId166" Type="http://schemas.openxmlformats.org/officeDocument/2006/relationships/revisionLog" Target="revisionLog76.xml"/><Relationship Id="rId187" Type="http://schemas.openxmlformats.org/officeDocument/2006/relationships/revisionLog" Target="revisionLog97.xml"/><Relationship Id="rId212" Type="http://schemas.openxmlformats.org/officeDocument/2006/relationships/revisionLog" Target="revisionLog122.xml"/><Relationship Id="rId233" Type="http://schemas.openxmlformats.org/officeDocument/2006/relationships/revisionLog" Target="revisionLog143.xml"/><Relationship Id="rId254" Type="http://schemas.openxmlformats.org/officeDocument/2006/relationships/revisionLog" Target="revisionLog164.xml"/><Relationship Id="rId114" Type="http://schemas.openxmlformats.org/officeDocument/2006/relationships/revisionLog" Target="revisionLog24.xml"/><Relationship Id="rId275" Type="http://schemas.openxmlformats.org/officeDocument/2006/relationships/revisionLog" Target="revisionLog185.xml"/><Relationship Id="rId135" Type="http://schemas.openxmlformats.org/officeDocument/2006/relationships/revisionLog" Target="revisionLog45.xml"/><Relationship Id="rId156" Type="http://schemas.openxmlformats.org/officeDocument/2006/relationships/revisionLog" Target="revisionLog66.xml"/><Relationship Id="rId177" Type="http://schemas.openxmlformats.org/officeDocument/2006/relationships/revisionLog" Target="revisionLog87.xml"/><Relationship Id="rId198" Type="http://schemas.openxmlformats.org/officeDocument/2006/relationships/revisionLog" Target="revisionLog108.xml"/><Relationship Id="rId202" Type="http://schemas.openxmlformats.org/officeDocument/2006/relationships/revisionLog" Target="revisionLog112.xml"/><Relationship Id="rId223" Type="http://schemas.openxmlformats.org/officeDocument/2006/relationships/revisionLog" Target="revisionLog133.xml"/><Relationship Id="rId244" Type="http://schemas.openxmlformats.org/officeDocument/2006/relationships/revisionLog" Target="revisionLog15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D5BAFF8-80B0-4BF1-9320-F6B57B70175D}" diskRevisions="1" revisionId="4241" version="3" protected="1">
  <header guid="{605F9F87-7F30-446F-B832-A93E618A0A41}" dateTime="2021-02-25T00:31:56" maxSheetId="16" userName="Andre A. Le Grange" r:id="rId91" minRId="2735" maxRId="274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15C0B51-B662-4C4A-8121-27774F1A42DF}" dateTime="2022-02-28T12:54:12" maxSheetId="16" userName="Andre A. Le Grange" r:id="rId92" minRId="2744" maxRId="27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2120825-CA47-4909-9968-A36FEA9A72C2}" dateTime="2023-03-06T12:31:09" maxSheetId="16" userName="Andre A. Le Grange" r:id="rId9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A210514-655F-4B9C-813E-C336E1F97BEB}" dateTime="2023-03-07T15:21:34" maxSheetId="16" userName="Andre A. Le Grange" r:id="rId9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F298417-3752-42EC-B93F-7190375C8703}" dateTime="2023-03-07T15:22:08" maxSheetId="16" userName="Andre A. Le Grange" r:id="rId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8805B4C-F922-4821-811F-DE8450D80D6C}" dateTime="2023-03-07T15:22:46" maxSheetId="16" userName="Andre A. Le Grange" r:id="rId9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7B9F56-421B-4510-8828-3981ABDE24ED}" dateTime="2023-03-07T15:24:37" maxSheetId="16" userName="Andre A. Le Grange" r:id="rId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D93E995-40D0-466C-BD6E-4763FD9B63F8}" dateTime="2023-03-07T15:59:03" maxSheetId="16" userName="Andre A. Le Grange" r:id="rId98" minRId="276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E4C946-9CBD-4C63-AEE5-BD842149B9ED}" dateTime="2023-03-07T16:08:34" maxSheetId="16" userName="Andre A. Le Grange" r:id="rId9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C96A3EA-B2B0-4BD9-940A-C788F3AA03FA}" dateTime="2023-03-08T11:09:54" maxSheetId="16" userName="Andre A. Le Grange" r:id="rId100" minRId="27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A20CD83-3DE1-489D-A139-1F2BA2F7DBE8}" dateTime="2023-03-08T11:16:35" maxSheetId="16" userName="Andre A. Le Grange" r:id="rId10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E3831D3-9F1C-40EA-B726-E99809485D50}" dateTime="2023-03-08T11:27:12" maxSheetId="16" userName="Andre A. Le Grange" r:id="rId10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E9098AA-EF85-47E6-B1FB-C4359F8C22E6}" dateTime="2023-03-08T11:30:24" maxSheetId="16" userName="Andre A. Le Grange" r:id="rId103" minRId="27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F8C049-B716-4DE7-ACD8-21F189A09DE5}" dateTime="2023-03-08T11:30:52" maxSheetId="16" userName="Andre A. Le Grange" r:id="rId10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41DFF87-2A5E-4821-BFA3-C78A8232F253}" dateTime="2023-03-08T11:31:24" maxSheetId="16" userName="Andre A. Le Grange" r:id="rId10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A1A1386-54B6-4848-8478-63E3FE47D6F8}" dateTime="2023-03-08T11:45:40" maxSheetId="16" userName="Andre A. Le Grange" r:id="rId106" minRId="2772" maxRId="277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1A967A3-532A-4558-8402-C23C2354EF7E}" dateTime="2023-03-08T11:51:55" maxSheetId="16" userName="Andre A. Le Grange" r:id="rId10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B08182A-1369-44D7-81C7-19FBDC533FAB}" dateTime="2023-03-08T11:54:48" maxSheetId="16" userName="Andre A. Le Grange" r:id="rId1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04779AC-1802-4A7E-AEAB-F1E8F860F962}" dateTime="2023-03-08T12:11:27" maxSheetId="16" userName="Andre A. Le Grange" r:id="rId1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059A363-9C12-4D87-898C-BE8FE3A478E8}" dateTime="2023-03-08T12:12:27" maxSheetId="16" userName="Andre A. Le Grange" r:id="rId11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244930A-5C76-433B-86A9-6168CF9B546E}" dateTime="2023-03-08T12:13:21" maxSheetId="16" userName="Andre A. Le Grange" r:id="rId11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F058E8E-CB1F-4671-8733-9D38E7D57752}" dateTime="2023-03-08T12:25:55" maxSheetId="16" userName="Andre A. Le Grange" r:id="rId112" minRId="2775" maxRId="27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708D29E-0212-4E22-8CDE-ADFEDAB636CC}" dateTime="2023-03-08T12:35:17" maxSheetId="16" userName="Andre A. Le Grange" r:id="rId1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F2D57D5-B8C9-4460-8196-B8810D8B2441}" dateTime="2023-03-08T12:43:26" maxSheetId="16" userName="Andre A. Le Grange" r:id="rId114" minRId="2788" maxRId="278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EF8095C-8190-411F-AC09-CE76219F68AC}" dateTime="2023-03-10T11:27:46" maxSheetId="16" userName="Andre A. Le Grange" r:id="rId115" minRId="2790" maxRId="28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8E5882D-82CB-4A97-B852-6D23E5D8D9D3}" dateTime="2023-03-10T12:09:15" maxSheetId="16" userName="Andre A. Le Grange" r:id="rId116" minRId="2834" maxRId="28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8E8CFF2-1C7C-4BBE-BA47-E3BAB06546BC}" dateTime="2023-03-10T12:11:17" maxSheetId="16" userName="Andre A. Le Grange" r:id="rId117" minRId="2845" maxRId="28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0C33BD9-2366-4876-8172-92E31DD604A8}" dateTime="2023-03-10T12:13:24" maxSheetId="16" userName="Andre A. Le Grange" r:id="rId118" minRId="2868" maxRId="28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AB25105-5AE0-4EE6-A572-EAD895F6C318}" dateTime="2023-03-10T12:15:04" maxSheetId="16" userName="Andre A. Le Grange" r:id="rId119" minRId="288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C8A2B70-933F-4DCE-B70B-475F6EA1A691}" dateTime="2023-03-10T12:21:53" maxSheetId="16" userName="Andre A. Le Grange" r:id="rId120" minRId="2890" maxRId="29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D0C692-0D99-4731-8877-5D178F2BF06B}" dateTime="2023-03-10T12:40:04" maxSheetId="16" userName="Andre A. Le Grange" r:id="rId121" minRId="29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12B6E7E-C004-4174-8834-6C9A65DF8799}" dateTime="2023-03-10T12:40:37" maxSheetId="16" userName="Andre A. Le Grange" r:id="rId122" minRId="29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6E09BFB-1E7E-46ED-AF18-A48FEEFA27C3}" dateTime="2023-03-13T10:11:55" maxSheetId="16" userName="Andre A. Le Grange" r:id="rId123" minRId="2962" maxRId="29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0C0A1D1-BC9E-429E-BD68-B9A1D308898E}" dateTime="2023-03-13T10:16:56" maxSheetId="16" userName="Andre A. Le Grange" r:id="rId124" minRId="2984" maxRId="30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3574046-7AE7-47CE-B3AC-6DC76CE351F9}" dateTime="2023-03-13T10:37:44" maxSheetId="16" userName="Andre A. Le Grange" r:id="rId125" minRId="3033" maxRId="303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FCC2A01-FBF6-4935-B7A5-DB702E8DB0C8}" dateTime="2023-03-13T10:52:09" maxSheetId="16" userName="Andre A. Le Grange" r:id="rId126" minRId="3038" maxRId="304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46E80A6-D746-42B9-821E-66DF2A44717B}" dateTime="2023-03-13T10:54:58" maxSheetId="16" userName="Andre A. Le Grange" r:id="rId127" minRId="30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2C18C9E-1690-41AE-A4AA-F4B1CF6F370D}" dateTime="2023-03-13T11:00:27" maxSheetId="16" userName="Andre A. Le Grange" r:id="rId12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A912CB5-9F4A-440C-9FB5-05C9019793E1}" dateTime="2023-03-13T11:00:44" maxSheetId="16" userName="Andre A. Le Grange" r:id="rId129" minRId="30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FCAC989-B7B2-4047-A9EF-36C1A4C47E58}" dateTime="2023-03-13T11:31:20" maxSheetId="16" userName="Andre A. Le Grange" r:id="rId130" minRId="3046" maxRId="30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DDE2E2A-85B9-416E-8D78-46854D8A5728}" dateTime="2023-03-13T11:34:40" maxSheetId="16" userName="Andre A. Le Grange" r:id="rId131" minRId="305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23F1950-80DE-4CDB-B62A-29834E4FADC7}" dateTime="2023-03-13T11:37:16" maxSheetId="16" userName="Andre A. Le Grange" r:id="rId132" minRId="305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31D369-D5EA-443B-AAD1-E2A6ED0DB4DF}" dateTime="2023-03-13T11:37:52" maxSheetId="16" userName="Andre A. Le Grange" r:id="rId133" minRId="305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715EBE1-97E6-49A9-B21D-1454CCA5E0D5}" dateTime="2023-03-13T11:44:32" maxSheetId="16" userName="Andre A. Le Grange" r:id="rId134" minRId="3055" maxRId="30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1C47921-D288-4827-BF9B-F9CDFA8DA86D}" dateTime="2023-03-13T15:06:29" maxSheetId="16" userName="Andre A. Le Grange" r:id="rId1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D6F3F9B-A2D0-4D9F-8594-B446BF6982F6}" dateTime="2023-03-13T15:07:10" maxSheetId="16" userName="Andre A. Le Grange" r:id="rId13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D64F70E-5F32-4C84-AA85-7BC5956FB30B}" dateTime="2023-03-13T15:10:15" maxSheetId="16" userName="Andre A. Le Grange" r:id="rId13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34E6DF8-1734-4098-BCB9-A147A5E2D772}" dateTime="2023-03-13T15:12:27" maxSheetId="16" userName="Andre A. Le Grange" r:id="rId13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80D8C66-142F-4986-BDBE-D520186F969B}" dateTime="2023-03-13T15:18:47" maxSheetId="16" userName="Andre A. Le Grange" r:id="rId1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B0CCA69-C502-4F0B-9AC8-AB49B238B7BE}" dateTime="2023-03-13T15:51:52" maxSheetId="16" userName="Andre A. Le Grange" r:id="rId140" minRId="3057" maxRId="305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FFF4FBB-65AB-4C2B-9CDE-3EA0156DEF6E}" dateTime="2023-03-13T15:58:43" maxSheetId="16" userName="Andre A. Le Grange" r:id="rId14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DA88BEC-CDF2-4E17-9FD7-7AB4A9AB539E}" dateTime="2023-03-13T16:00:17" maxSheetId="16" userName="Andre A. Le Grange" r:id="rId1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FA77861-89EC-4AAC-AA35-6B185D3E5A21}" dateTime="2023-03-13T16:02:48" maxSheetId="16" userName="Andre A. Le Grange" r:id="rId14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6EEBA3B-4B50-4953-8F32-FEEA19A01BD4}" dateTime="2023-03-13T16:07:55" maxSheetId="16" userName="Andre A. Le Grange" r:id="rId1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A09697-2DAF-4584-8DCA-AFB1B4C1AC9A}" dateTime="2023-03-13T16:23:25" maxSheetId="16" userName="Andre A. Le Grange" r:id="rId1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4AF0450-B4F9-4A05-A07D-EC4E82CE6745}" dateTime="2023-03-13T16:26:56" maxSheetId="16" userName="Andre A. Le Grange" r:id="rId1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B8CD2DF-9D9C-4AD3-ABDE-5AB0189BE8F8}" dateTime="2023-03-14T22:55:56" maxSheetId="16" userName="Andre A. Le Grange" r:id="rId1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8688BA-2BAB-43A8-82A6-63648B681B9C}" dateTime="2023-03-14T23:04:33" maxSheetId="16" userName="Andre A. Le Grange" r:id="rId14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7237BE5-A891-48FB-8A8D-6A5D2AF3EE55}" dateTime="2023-03-14T23:09:05" maxSheetId="16" userName="Andre A. Le Grange" r:id="rId1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F7A88CB-5E59-4703-9990-A9E027E27756}" dateTime="2023-03-14T23:21:30" maxSheetId="16" userName="Andre A. Le Grange" r:id="rId150" minRId="3059" maxRId="30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0B17A70-C221-4216-8E15-BA30F64FC8CF}" dateTime="2023-03-14T23:24:28" maxSheetId="16" userName="Andre A. Le Grange" r:id="rId151" minRId="3067" maxRId="306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78F6DD2-AD32-445F-A9D3-7D2D2846F7EF}" dateTime="2023-03-14T23:33:54" maxSheetId="16" userName="Andre A. Le Grange" r:id="rId152" minRId="3070" maxRId="308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5526E84-2211-48E1-A349-AB42314E453B}" dateTime="2023-03-14T23:43:01" maxSheetId="16" userName="Andre A. Le Grange" r:id="rId153" minRId="3109" maxRId="311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C46F166-C214-4CD2-9E4C-C7F91A5ACEDB}" dateTime="2023-03-14T23:44:46" maxSheetId="16" userName="Andre A. Le Grange" r:id="rId154" minRId="3113" maxRId="312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6AF6191-9449-472C-814B-E8ED1C09DBDC}" dateTime="2023-03-14T23:46:35" maxSheetId="16" userName="Andre A. Le Grange" r:id="rId155" minRId="3125" maxRId="31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C725C1-FADA-4C46-8B38-09F06714B46D}" dateTime="2023-03-14T23:47:41" maxSheetId="16" userName="Andre A. Le Grange" r:id="rId156" minRId="313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03A6470-38C9-4F00-9FD7-107B322E7EB6}" dateTime="2023-03-14T23:52:53" maxSheetId="16" userName="Andre A. Le Grange" r:id="rId157" minRId="3161" maxRId="317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CD4DE8-287A-44FC-A83B-D8AD5B74FDCF}" dateTime="2023-03-14T23:55:34" maxSheetId="16" userName="Andre A. Le Grange" r:id="rId15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D3258DF-5D1B-4DB2-97B8-F48857A60324}" dateTime="2023-03-15T15:07:50" maxSheetId="16" userName="Andre A. Le Grange" r:id="rId159" minRId="3198" maxRId="319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F03F2B-A2C1-412F-B332-507A0F3A76D1}" dateTime="2023-03-15T15:12:06" maxSheetId="16" userName="Andre A. Le Grange" r:id="rId160" minRId="3225" maxRId="323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34999D3-1D97-4A13-B5AD-ADC96A1F2B02}" dateTime="2023-03-15T15:14:06" maxSheetId="16" userName="Andre A. Le Grange" r:id="rId161" minRId="3231" maxRId="32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122EB2B-3CF8-439D-8361-8E2AB19B8DBF}" dateTime="2023-03-15T15:15:49" maxSheetId="16" userName="Andre A. Le Grange" r:id="rId162" minRId="323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ACF5B47-96B0-4763-A781-5F96003ADAFB}" dateTime="2023-03-15T15:25:45" maxSheetId="16" userName="Andre A. Le Grange" r:id="rId163" minRId="3234" maxRId="323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2D7FB92-6D5B-4A6D-A8B0-312E05474068}" dateTime="2023-03-15T15:34:37" maxSheetId="16" userName="Andre A. Le Grange" r:id="rId164" minRId="3238" maxRId="32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A87C861-999B-405F-BF06-B7850224E9B2}" dateTime="2023-03-15T15:36:11" maxSheetId="16" userName="Andre A. Le Grange" r:id="rId165" minRId="3240" maxRId="32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1BFECBF-B1D8-4AF1-BD11-361F142F39D6}" dateTime="2023-03-15T15:48:52" maxSheetId="16" userName="Andre A. Le Grange" r:id="rId166" minRId="3243" maxRId="32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2DBC3F6-C28A-4D22-B8B3-171A4BB85289}" dateTime="2023-03-15T15:52:07" maxSheetId="16" userName="Andre A. Le Grange" r:id="rId167" minRId="3257" maxRId="326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7BFBB32-6827-4724-ADAA-5CF22D16911B}" dateTime="2023-03-15T15:53:56" maxSheetId="16" userName="Andre A. Le Grange" r:id="rId168" minRId="3270" maxRId="327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A64572E-4E1B-40DB-B83B-248D659E6185}" dateTime="2023-03-15T15:57:51" maxSheetId="16" userName="Andre A. Le Grange" r:id="rId16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E5CB285-36B1-49B2-ABE9-0FD69958A23F}" dateTime="2023-03-15T16:04:02" maxSheetId="16" userName="Andre A. Le Grange" r:id="rId170" minRId="3274" maxRId="327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0035540-AF99-4DDA-8171-1D5AB7604720}" dateTime="2023-03-15T16:08:43" maxSheetId="16" userName="Andre A. Le Grange" r:id="rId171" minRId="3278" maxRId="327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6CA95F-F543-41F2-87BB-B04AAC57325D}" dateTime="2023-03-15T16:21:26" maxSheetId="16" userName="Andre A. Le Grange" r:id="rId172" minRId="3280" maxRId="32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D8899AE-FD54-48DB-A10A-27EDA55CD953}" dateTime="2023-03-15T16:22:27" maxSheetId="16" userName="Andre A. Le Grange" r:id="rId173" minRId="328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A085F2E-3438-435E-9720-282F3E2679A0}" dateTime="2023-03-15T16:24:12" maxSheetId="16" userName="Andre A. Le Grange" r:id="rId174" minRId="3290" maxRId="32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4B5F10A-5FC4-4FD6-8926-FC03FF05A9B1}" dateTime="2023-03-15T16:25:05" maxSheetId="16" userName="Andre A. Le Grange" r:id="rId175" minRId="3292" maxRId="329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FAF9F8C-DF09-4704-B073-BAC98B549D4E}" dateTime="2023-03-15T16:27:16" maxSheetId="16" userName="Andre A. Le Grange" r:id="rId176" minRId="3294" maxRId="32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4E9FD54-8B79-4DB9-B7E1-DF9FF56EB6B6}" dateTime="2023-03-15T16:29:23" maxSheetId="16" userName="Andre A. Le Grange" r:id="rId177" minRId="329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D6BC52-874C-481B-B7A5-F13CC16645C7}" dateTime="2023-03-15T16:32:45" maxSheetId="16" userName="Andre A. Le Grange" r:id="rId178" minRId="3297" maxRId="329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8C92CF2-5262-49E0-B708-08800E1FEC50}" dateTime="2023-03-15T16:35:02" maxSheetId="16" userName="Andre A. Le Grange" r:id="rId179" minRId="329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424DAC0-E75E-4AB1-BC11-7A344D98E1BD}" dateTime="2023-03-15T16:38:41" maxSheetId="16" userName="Andre A. Le Grange" r:id="rId180" minRId="330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CB2F676-437C-42FB-954C-07DBDF7481CF}" dateTime="2023-03-16T09:25:40" maxSheetId="16" userName="Andre A. Le Grange" r:id="rId181" minRId="3301" maxRId="330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DD7C697-D057-4421-ADF9-F836B0152ACA}" dateTime="2023-03-16T09:27:27" maxSheetId="16" userName="Andre A. Le Grange" r:id="rId182" minRId="3303" maxRId="330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5D2A79-70C5-428A-BAEE-D20C698DF929}" dateTime="2023-03-16T09:30:12" maxSheetId="16" userName="Andre A. Le Grange" r:id="rId183" minRId="330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E88EC3-4F11-4CA3-82B5-0AFB429CAED5}" dateTime="2023-03-16T09:34:09" maxSheetId="16" userName="Andre A. Le Grange" r:id="rId184" minRId="3306" maxRId="33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13F021E-720E-46E9-A780-5FA325B5367A}" dateTime="2023-03-16T12:04:56" maxSheetId="16" userName="Andre A. Le Grange" r:id="rId185" minRId="3309" maxRId="33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609D45-3BBA-4431-A46F-0219AE1882F3}" dateTime="2023-03-16T12:07:18" maxSheetId="16" userName="Andre A. Le Grange" r:id="rId186" minRId="3339" maxRId="334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77F7996-507C-4398-80CB-3CCAE4766C54}" dateTime="2023-03-16T12:07:59" maxSheetId="16" userName="Andre A. Le Grange" r:id="rId1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ADA8055-2EAF-4AF5-BFAD-921C71039490}" dateTime="2023-03-16T12:08:59" maxSheetId="16" userName="Andre A. Le Grange" r:id="rId188" minRId="3367" maxRId="338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87FC6D1-D43A-45FF-8AD4-0D56291EC82D}" dateTime="2023-03-16T12:10:34" maxSheetId="16" userName="Andre A. Le Grange" r:id="rId18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8D458A8-4341-4EE2-99F9-9863B6CEADE5}" dateTime="2023-03-16T12:29:32" maxSheetId="16" userName="Andre A. Le Grange" r:id="rId190" minRId="33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8A5A925-3E67-49E1-B228-4EF85A1C238A}" dateTime="2023-03-16T12:31:23" maxSheetId="16" userName="Andre A. Le Grange" r:id="rId191" minRId="338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F7086E-5B84-4DBB-977D-D5BD35A5F1F8}" dateTime="2023-03-16T12:33:10" maxSheetId="16" userName="Andre A. Le Grange" r:id="rId1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B31F5A-66FB-4EE7-9070-84C1FD97AB4F}" dateTime="2023-03-16T12:38:04" maxSheetId="16" userName="Andre A. Le Grange" r:id="rId193" minRId="33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FD83A93-4AE1-471C-B33B-B93B58222934}" dateTime="2023-03-16T12:38:45" maxSheetId="16" userName="Andre A. Le Grange" r:id="rId19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29E0997-B1AC-4494-BBAA-83D7334A109E}" dateTime="2023-03-16T12:39:27" maxSheetId="16" userName="Andre A. Le Grange" r:id="rId1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BCFB250-787D-4468-817C-AB9F30DDF04B}" dateTime="2023-03-16T12:50:52" maxSheetId="16" userName="Andre A. Le Grange" r:id="rId196" minRId="338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E9D721F-24F1-4FA8-A33B-F3AF311D63C4}" dateTime="2023-03-16T12:52:30" maxSheetId="16" userName="Andre A. Le Grange" r:id="rId1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3563F35-475E-429D-B585-68459A82A4CA}" dateTime="2023-03-16T15:40:21" maxSheetId="16" userName="Andre A. Le Grange" r:id="rId198" minRId="3385" maxRId="338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2F6F6AB-2A52-47B5-8348-0513F2ACF9E5}" dateTime="2023-03-16T15:45:25" maxSheetId="16" userName="Andre A. Le Grange" r:id="rId199" minRId="3390" maxRId="33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AE25779-4F0B-4A53-9360-9D0640497BA0}" dateTime="2023-03-16T15:48:58" maxSheetId="16" userName="Andre A. Le Grange" r:id="rId20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93D6F94-9E10-4CA1-B981-685A710046B8}" dateTime="2023-03-16T15:50:35" maxSheetId="16" userName="Andre A. Le Grange" r:id="rId20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B2AA490-7F17-48C9-BF6E-76346F532C60}" dateTime="2023-03-16T15:53:26" maxSheetId="16" userName="Andre A. Le Grange" r:id="rId202" minRId="339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8E7269-2A33-46C8-A092-B2F940B75F66}" dateTime="2023-03-16T15:54:51" maxSheetId="16" userName="Andre A. Le Grange" r:id="rId203" minRId="33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013C22E-05C6-437D-B88C-33D81A49C915}" dateTime="2023-03-16T15:57:25" maxSheetId="16" userName="Andre A. Le Grange" r:id="rId204" minRId="3398" maxRId="339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E1F572B-BA3A-4E58-9214-7BE16C582E91}" dateTime="2023-03-16T15:58:09" maxSheetId="16" userName="Andre A. Le Grange" r:id="rId20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B1C5DB9-6300-4232-9D0A-3BC3FAEBA7F1}" dateTime="2023-03-16T15:59:46" maxSheetId="16" userName="Andre A. Le Grange" r:id="rId2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95E88D-D678-4B6B-9C47-727C9DC13A82}" dateTime="2023-03-16T16:00:58" maxSheetId="16" userName="Andre A. Le Grange" r:id="rId20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0A07269-720D-4C1C-989C-F33316A34D61}" dateTime="2023-03-16T16:01:21" maxSheetId="16" userName="Andre A. Le Grange" r:id="rId2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1E2EC7D-A52C-4708-A72B-F93430758828}" dateTime="2023-03-16T16:03:23" maxSheetId="16" userName="Andre A. Le Grange" r:id="rId209" minRId="3400" maxRId="34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F84F9B1-9E80-4DB0-9C6B-9FDF6F86D385}" dateTime="2023-03-16T16:21:02" maxSheetId="16" userName="Andre A. Le Grange" r:id="rId210" minRId="3404" maxRId="34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5826979-3C71-4742-8BA3-64EA0DFEA025}" dateTime="2023-03-16T16:24:46" maxSheetId="16" userName="Andre A. Le Grange" r:id="rId211" minRId="3407" maxRId="34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E920469-CAA7-4FB5-B3BD-3E6CDE8DE07D}" dateTime="2023-03-16T16:31:20" maxSheetId="16" userName="Andre A. Le Grange" r:id="rId212" minRId="3410" maxRId="34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8215E6F-B42B-46CC-9FFC-A1AAF4C9B645}" dateTime="2023-03-16T16:33:06" maxSheetId="16" userName="Andre A. Le Grange" r:id="rId213" minRId="3418" maxRId="342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6BFB7FB-696D-45CB-B950-CA98F1FBF763}" dateTime="2023-03-16T16:34:32" maxSheetId="16" userName="Andre A. Le Grange" r:id="rId214" minRId="34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CD60BF4-37FB-4F66-8F35-4D300CFAD113}" dateTime="2023-03-16T16:36:43" maxSheetId="16" userName="Andre A. Le Grange" r:id="rId215" minRId="3422" maxRId="342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1E1A523-C8CC-4F8C-83B7-B8C87538C644}" dateTime="2023-03-17T15:21:57" maxSheetId="16" userName="Andre A. Le Grange" r:id="rId216" minRId="3426" maxRId="342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2F1CF17-C00F-4C99-AD8E-76D076AA4435}" dateTime="2023-03-17T15:36:39" maxSheetId="16" userName="Andre A. Le Grange" r:id="rId217" minRId="342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B47C3BC-44A9-4AC6-9ED0-1176FD9DC041}" dateTime="2023-03-17T15:39:10" maxSheetId="16" userName="Andre A. Le Grange" r:id="rId218" minRId="342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A82AFFD-CB2E-434A-A729-3BB33BEC798F}" dateTime="2023-03-18T15:33:05" maxSheetId="16" userName="Andre A. Le Grange" r:id="rId219" minRId="343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11A3ED4-DD3B-4A61-A978-478D499AB0B1}" dateTime="2023-03-18T15:43:08" maxSheetId="16" userName="Andre A. Le Grange" r:id="rId220" minRId="3456" maxRId="34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D18E47-3386-4197-9A69-723C2A111D0D}" dateTime="2023-03-18T15:53:06" maxSheetId="16" userName="Andre A. Le Grange" r:id="rId221" minRId="3482" maxRId="35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7C54D18-001A-44BD-8E24-439963E65816}" dateTime="2023-03-18T15:56:35" maxSheetId="16" userName="Andre A. Le Grange" r:id="rId22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8D01D6D-24F9-4653-9D5F-C606D84DA6D9}" dateTime="2023-03-18T16:37:21" maxSheetId="16" userName="Andre A. Le Grange" r:id="rId223" minRId="3570" maxRId="359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2BAA0E8-E278-46A2-9A77-64B2637C2C2D}" dateTime="2023-03-18T16:44:13" maxSheetId="16" userName="Andre A. Le Grange" r:id="rId224" minRId="3625" maxRId="365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E764D19-16B3-4D00-A534-B96C53079AAE}" dateTime="2023-03-18T22:06:06" maxSheetId="16" userName="Andre A. Le Grange" r:id="rId225" minRId="3680" maxRId="368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DD30CCB-B9EE-40DF-B59C-EEC4F015FB17}" dateTime="2023-03-18T22:06:59" maxSheetId="16" userName="Andre A. Le Grange" r:id="rId226" minRId="3711" maxRId="371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74D242D-AAE3-407D-A7DB-0889D583CAD6}" dateTime="2023-03-18T22:08:13" maxSheetId="16" userName="Andre A. Le Grange" r:id="rId227" minRId="3719" maxRId="372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B1C6924-2824-40AB-AB95-1364BDA8328B}" dateTime="2023-03-18T22:08:52" maxSheetId="16" userName="Andre A. Le Grange" r:id="rId228" minRId="3725" maxRId="373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71B412-7B60-4E4E-A72C-5C3670FAAFEE}" dateTime="2023-03-18T22:09:54" maxSheetId="16" userName="Andre A. Le Grange" r:id="rId229" minRId="3739" maxRId="37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7FD08FE-D5F4-41D4-AB1E-F8FCFE0F3549}" dateTime="2023-03-18T22:11:28" maxSheetId="16" userName="Andre A. Le Grange" r:id="rId230" minRId="374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CFF56D-AB70-4955-97DE-77276817A948}" dateTime="2023-03-18T22:17:03" maxSheetId="16" userName="Andre A. Le Grange" r:id="rId231" minRId="3744" maxRId="374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4EAB232-0D1F-4488-9B31-22868B5F3240}" dateTime="2023-03-18T22:40:38" maxSheetId="16" userName="Andre A. Le Grange" r:id="rId232" minRId="3749" maxRId="375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F80F2E7-2E4A-4954-9A34-17B8E55E700E}" dateTime="2023-03-18T22:41:33" maxSheetId="16" userName="Andre A. Le Grange" r:id="rId233" minRId="3778" maxRId="377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FABA3FA-0F78-4F0F-9C07-829211EC0E29}" dateTime="2023-03-18T22:44:04" maxSheetId="16" userName="Andre A. Le Grange" r:id="rId234" minRId="378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6ECC98-6D28-46E7-9AC0-13AE837C61FB}" dateTime="2023-03-18T22:58:47" maxSheetId="16" userName="Andre A. Le Grange" r:id="rId235" minRId="3781" maxRId="38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BD7B28C-FC7A-4D65-BCA8-003D1E8FFF3D}" dateTime="2023-03-18T23:07:40" maxSheetId="16" userName="Andre A. Le Grange" r:id="rId236" minRId="3832" maxRId="383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ED49D4E-C1F6-4F82-870F-8A4A80C0C763}" dateTime="2023-03-18T23:09:55" maxSheetId="16" userName="Andre A. Le Grange" r:id="rId23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B93186-8899-481D-8E05-648182358226}" dateTime="2023-03-18T23:17:36" maxSheetId="16" userName="Andre A. Le Grange" r:id="rId238" minRId="3835" maxRId="383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1807465-2303-47D5-94D7-E71698A8CD93}" dateTime="2023-03-18T23:36:36" maxSheetId="16" userName="Andre A. Le Grange" r:id="rId239" minRId="3837" maxRId="38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FA0528D-96DD-446D-B2FA-5AABDF640C94}" dateTime="2023-03-18T23:38:55" maxSheetId="16" userName="Andre A. Le Grange" r:id="rId240" minRId="3888" maxRId="389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C91A482-F3E7-4D41-B4E6-78066061FD4D}" dateTime="2023-03-18T23:49:55" maxSheetId="16" userName="Andre A. Le Grange" r:id="rId241" minRId="3900" maxRId="392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4EF9F60-017D-44CE-B7C6-E36B2E2BD938}" dateTime="2023-03-19T00:01:28" maxSheetId="16" userName="Andre A. Le Grange" r:id="rId242" minRId="392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CB93008-91A8-4DE9-9970-1C58CAED24D4}" dateTime="2023-03-19T00:04:37" maxSheetId="16" userName="Andre A. Le Grange" r:id="rId243" minRId="3954" maxRId="401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EB6E0FE-F0C9-4397-8AEA-FD28918E8A9A}" dateTime="2023-03-19T00:17:22" maxSheetId="16" userName="Andre A. Le Grange" r:id="rId244" minRId="4012" maxRId="404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F22F236-4B80-4320-9749-FA8378109461}" dateTime="2023-03-27T16:11:42" maxSheetId="16" userName="Andre A. Le Grange" r:id="rId245" minRId="4049" maxRId="405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5B419D2-4D10-4C69-BD8B-5066EA91F617}" dateTime="2023-03-27T16:25:11" maxSheetId="16" userName="Andre A. Le Grange" r:id="rId246" minRId="4051" maxRId="405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626E22C-58BB-4167-B7E7-34D2C724DCAB}" dateTime="2023-03-28T15:44:01" maxSheetId="16" userName="Andre A. Le Grange" r:id="rId247" minRId="4055" maxRId="40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C0BEA92-D442-412C-8193-900C3AFAB111}" dateTime="2023-03-28T15:51:19" maxSheetId="16" userName="Andre A. Le Grange" r:id="rId248" minRId="4057" maxRId="405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17BCCE1-BBEA-4A2D-BFA1-CA06662B8D88}" dateTime="2023-03-28T15:55:19" maxSheetId="16" userName="Andre A. Le Grange" r:id="rId249" minRId="4083" maxRId="408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2A199FA-3F1F-485D-9BB7-E8B98564BA4B}" dateTime="2023-03-28T15:56:48" maxSheetId="16" userName="Andre A. Le Grange" r:id="rId250" minRId="4085" maxRId="408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C5CF6C6-5DF7-4D5C-8595-2E27D17B258B}" dateTime="2023-03-28T15:58:31" maxSheetId="16" userName="Andre A. Le Grange" r:id="rId251" minRId="4087" maxRId="40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CA7448-2909-452C-AFBE-31B94B2ECD11}" dateTime="2023-03-28T16:13:11" maxSheetId="16" userName="Andre A. Le Grange" r:id="rId252" minRId="4089" maxRId="40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A6EC3F8-3EFF-4CE9-AD24-283F3CD2CBB1}" dateTime="2023-03-28T16:24:33" maxSheetId="16" userName="Andre A. Le Grange" r:id="rId253" minRId="4091" maxRId="40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F446FFD-3E96-49A3-B4B0-B624AABBF5D4}" dateTime="2023-03-28T16:24:43" maxSheetId="16" userName="Andre A. Le Grange" r:id="rId25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A47CF05-9A82-49CA-884A-6190DE962386}" dateTime="2023-03-28T16:26:40" maxSheetId="16" userName="Andre A. Le Grange" r:id="rId255" minRId="4093" maxRId="409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A695E2-5430-4FEB-853D-FC523B226371}" dateTime="2023-03-28T16:32:07" maxSheetId="16" userName="Andre A. Le Grange" r:id="rId256" minRId="4095" maxRId="409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6AF39F-D4ED-4BEB-A2C7-2DECFF869AD0}" dateTime="2023-03-29T09:56:34" maxSheetId="16" userName="Andre A. Le Grange" r:id="rId257" minRId="4097" maxRId="409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92E3F13-2E06-4F95-8A24-D2349BEE9B03}" dateTime="2023-03-29T09:58:30" maxSheetId="16" userName="Andre A. Le Grange" r:id="rId258" minRId="4099" maxRId="410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F957810-9AF9-40AD-BA41-18267FC96BDE}" dateTime="2023-03-29T10:00:27" maxSheetId="16" userName="Andre A. Le Grange" r:id="rId259" minRId="4101" maxRId="410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99DB2A-C8EB-4570-A8B5-8EC1F58F1ABF}" dateTime="2023-03-29T10:06:09" maxSheetId="16" userName="Andre A. Le Grange" r:id="rId260" minRId="4103" maxRId="410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9917B24-1E04-4AA0-A3D2-4344580E5613}" dateTime="2023-03-29T10:08:59" maxSheetId="16" userName="Andre A. Le Grange" r:id="rId261" minRId="4105" maxRId="41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BE90E6E-F65F-4F33-BF15-14DA14E1DDED}" dateTime="2023-03-29T10:10:55" maxSheetId="16" userName="Andre A. Le Grange" r:id="rId262" minRId="4107" maxRId="41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CC13C2-E557-41C2-B693-63BABFAFEAD6}" dateTime="2023-03-29T10:11:32" maxSheetId="16" userName="Andre A. Le Grange" r:id="rId26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C32FF7F-07B9-4BF8-8145-B47211AA0FB2}" dateTime="2023-03-29T12:48:50" maxSheetId="16" userName="Andre A. Le Grange" r:id="rId264" minRId="4110" maxRId="411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759DFB8-337F-4867-89FE-CF4C9897D7C5}" dateTime="2023-03-29T12:50:54" maxSheetId="16" userName="Andre A. Le Grange" r:id="rId265" minRId="4112" maxRId="41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FA3A04-98EF-4077-B2FB-EA5649FF8F8C}" dateTime="2023-03-29T12:51:39" maxSheetId="16" userName="Andre A. Le Grange" r:id="rId266" minRId="41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1E75E11-1BEA-43C9-B223-3D5434B15AB0}" dateTime="2023-03-29T12:53:13" maxSheetId="16" userName="Andre A. Le Grange" r:id="rId267" minRId="4115" maxRId="41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14B5CB7-8260-46F2-BC91-BAD77104AE1B}" dateTime="2023-03-29T12:53:50" maxSheetId="16" userName="Andre A. Le Grange" r:id="rId268" minRId="41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28AB05E-F4DF-4747-9905-75F603FD5CBF}" dateTime="2023-03-29T15:49:48" maxSheetId="16" userName="Andre A. Le Grange" r:id="rId269" minRId="4118" maxRId="411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90C5EA7-6D2E-47CA-BECF-A637AC7C504F}" dateTime="2023-03-29T15:52:06" maxSheetId="16" userName="Andre A. Le Grange" r:id="rId270" minRId="4120" maxRId="41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3E35787-6330-4BF8-A859-0DFCF81228E5}" dateTime="2023-03-29T15:52:41" maxSheetId="16" userName="Andre A. Le Grange" r:id="rId271" minRId="412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4AF0502-AFED-4E9D-8423-863F1F0782F2}" dateTime="2023-03-29T15:58:26" maxSheetId="16" userName="Andre A. Le Grange" r:id="rId272" minRId="4123" maxRId="41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32D58E1-9C92-4341-B4C7-0DD32EDD9DAA}" dateTime="2023-03-29T16:16:31" maxSheetId="16" userName="Andre A. Le Grange" r:id="rId273" minRId="4127" maxRId="412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F28DB1D-7B78-4774-A990-6B40CC7F46EB}" dateTime="2024-02-29T11:48:25" maxSheetId="16" userName="Andre A. Le Grange" r:id="rId274" minRId="4129" maxRId="41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6E5FB3C-A634-463C-BD14-333B2890654C}" dateTime="2024-03-22T13:27:20" maxSheetId="16" userName="Andre A. Le Grange" r:id="rId275" minRId="4171" maxRId="417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2BBB10D-63EB-4F50-9FB1-05B3C8184F1B}" dateTime="2024-03-22T13:32:27" maxSheetId="16" userName="Andre A. Le Grange" r:id="rId276" minRId="4180" maxRId="419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8C9DCF8-88D3-4870-AC60-60B476A4266F}" dateTime="2024-03-22T13:37:17" maxSheetId="16" userName="Andre A. Le Grange" r:id="rId277" minRId="4195" maxRId="420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C0EEE3-C774-4E14-BA7F-BB7139332EA9}" dateTime="2024-03-22T13:43:35" maxSheetId="16" userName="Andre A. Le Grange" r:id="rId278" minRId="4208" maxRId="42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EAD114D-F66E-41F9-BF5D-1F8C8422CD0E}" dateTime="2024-03-22T14:03:03" maxSheetId="16" userName="Andre A. Le Grange" r:id="rId279" minRId="4210" maxRId="42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D5BAFF8-80B0-4BF1-9320-F6B57B70175D}" dateTime="2024-03-22T14:08:11" maxSheetId="16" userName="Andre A. Le Grange" r:id="rId280" minRId="4227" maxRId="424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2:D22">
    <dxf>
      <fill>
        <patternFill patternType="solid">
          <bgColor rgb="FFFFFF00"/>
        </patternFill>
      </fill>
    </dxf>
  </rfmt>
  <rfmt sheetId="1" sqref="A15:C15">
    <dxf>
      <fill>
        <patternFill patternType="solid">
          <bgColor rgb="FFFFFF00"/>
        </patternFill>
      </fill>
    </dxf>
  </rfmt>
  <rfmt sheetId="1" sqref="D22">
    <dxf>
      <fill>
        <patternFill>
          <bgColor theme="0"/>
        </patternFill>
      </fill>
    </dxf>
  </rfmt>
  <rfmt sheetId="1" sqref="A8:C8">
    <dxf>
      <fill>
        <patternFill patternType="solid">
          <bgColor rgb="FFFFFF00"/>
        </patternFill>
      </fill>
    </dxf>
  </rfmt>
  <rfmt sheetId="1" sqref="A16:C16">
    <dxf>
      <fill>
        <patternFill patternType="solid">
          <bgColor rgb="FFFFFF00"/>
        </patternFill>
      </fill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90:C90">
    <dxf>
      <fill>
        <patternFill patternType="solid">
          <bgColor rgb="FFFFFF00"/>
        </patternFill>
      </fill>
    </dxf>
  </rfmt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1" sId="6" numFmtId="34">
    <oc r="K35">
      <v>17160</v>
    </oc>
    <nc r="K35">
      <f>8358*1.06</f>
    </nc>
  </rcc>
  <rfmt sheetId="6" sqref="K35">
    <dxf>
      <fill>
        <patternFill patternType="solid">
          <bgColor rgb="FF7030A0"/>
        </patternFill>
      </fill>
    </dxf>
  </rfmt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K39">
    <dxf>
      <fill>
        <patternFill patternType="solid">
          <bgColor rgb="FF7030A0"/>
        </patternFill>
      </fill>
    </dxf>
  </rfmt>
  <rcc rId="3382" sId="7" numFmtId="34">
    <oc r="K39">
      <v>17160</v>
    </oc>
    <nc r="K39">
      <f>9492*1.06</f>
    </nc>
  </rcc>
  <rfmt sheetId="7" sqref="K39">
    <dxf>
      <fill>
        <patternFill patternType="solid">
          <bgColor rgb="FF7030A0"/>
        </patternFill>
      </fill>
    </dxf>
  </rfmt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K15">
    <dxf>
      <fill>
        <patternFill patternType="solid">
          <bgColor rgb="FF7030A0"/>
        </patternFill>
      </fill>
    </dxf>
  </rfmt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3" sId="3" numFmtId="34">
    <oc r="K15">
      <v>1200</v>
    </oc>
    <nc r="K15">
      <f>678*1.06</f>
    </nc>
  </rcc>
  <rfmt sheetId="3" sqref="K15">
    <dxf>
      <fill>
        <patternFill patternType="solid">
          <bgColor rgb="FF7030A0"/>
        </patternFill>
      </fill>
    </dxf>
  </rfmt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K13">
    <dxf>
      <fill>
        <patternFill patternType="solid">
          <bgColor rgb="FF7030A0"/>
        </patternFill>
      </fill>
    </dxf>
  </rfmt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K47">
    <dxf>
      <fill>
        <patternFill patternType="solid">
          <bgColor rgb="FF7030A0"/>
        </patternFill>
      </fill>
    </dxf>
  </rfmt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4" sId="4">
    <oc r="K20">
      <f>2000</f>
    </oc>
    <nc r="K20">
      <f>1716*1.06</f>
    </nc>
  </rcc>
  <rfmt sheetId="4" sqref="K20">
    <dxf>
      <fill>
        <patternFill patternType="solid">
          <bgColor rgb="FF7030A0"/>
        </patternFill>
      </fill>
    </dxf>
  </rfmt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K23">
    <dxf>
      <fill>
        <patternFill patternType="solid">
          <bgColor rgb="FF7030A0"/>
        </patternFill>
      </fill>
    </dxf>
  </rfmt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5" sId="7" numFmtId="34">
    <oc r="K44">
      <v>17160</v>
    </oc>
    <nc r="K44">
      <f>7770*1.06</f>
    </nc>
  </rcc>
  <rfmt sheetId="7" sqref="K44">
    <dxf>
      <fill>
        <patternFill patternType="solid">
          <bgColor rgb="FF7030A0"/>
        </patternFill>
      </fill>
    </dxf>
  </rfmt>
  <rcc rId="3386" sId="6" numFmtId="34">
    <oc r="K27">
      <v>2400</v>
    </oc>
    <nc r="K27">
      <f>1932*1.06</f>
    </nc>
  </rcc>
  <rcc rId="3387" sId="6" numFmtId="34">
    <oc r="K28">
      <v>2400</v>
    </oc>
    <nc r="K28">
      <f>1932*1.06</f>
    </nc>
  </rcc>
  <rcc rId="3388" sId="6" numFmtId="34">
    <oc r="K29">
      <v>2400</v>
    </oc>
    <nc r="K29">
      <f>1932*1.06</f>
    </nc>
  </rcc>
  <rcc rId="3389" sId="6" numFmtId="34">
    <oc r="K30">
      <v>2400</v>
    </oc>
    <nc r="K30">
      <f>1932*1.06</f>
    </nc>
  </rcc>
  <rfmt sheetId="6" sqref="K27">
    <dxf>
      <fill>
        <patternFill patternType="solid">
          <bgColor rgb="FF7030A0"/>
        </patternFill>
      </fill>
    </dxf>
  </rfmt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0" sId="5" numFmtId="34">
    <oc r="K19">
      <v>2400</v>
    </oc>
    <nc r="K19">
      <f>1932*1.06</f>
    </nc>
  </rcc>
  <rcc rId="3391" sId="5" numFmtId="34">
    <oc r="K17">
      <v>2400</v>
    </oc>
    <nc r="K17">
      <f>1932*1.06</f>
    </nc>
  </rcc>
  <rcc rId="3392" sId="5" numFmtId="34">
    <oc r="K18">
      <v>2400</v>
    </oc>
    <nc r="K18">
      <f>1932*1.06</f>
    </nc>
  </rcc>
  <rcc rId="3393" sId="5" numFmtId="34">
    <oc r="K20">
      <v>2400</v>
    </oc>
    <nc r="K20">
      <f>1932*1.06</f>
    </nc>
  </rcc>
  <rcc rId="3394" sId="5" numFmtId="34">
    <oc r="K21">
      <v>2400</v>
    </oc>
    <nc r="K21">
      <f>1932*1.06</f>
    </nc>
  </rcc>
  <rcc rId="3395" sId="5" numFmtId="34">
    <oc r="K22">
      <v>2400</v>
    </oc>
    <nc r="K22">
      <f>1932*1.06</f>
    </nc>
  </rcc>
  <rfmt sheetId="5" sqref="K19">
    <dxf>
      <fill>
        <patternFill patternType="solid">
          <bgColor rgb="FF7030A0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5" sId="9" numFmtId="34">
    <oc r="A4">
      <v>15.5</v>
    </oc>
    <nc r="A4">
      <v>16</v>
    </nc>
  </rcc>
  <rcc rId="2736" sId="2">
    <oc r="A1" t="inlineStr">
      <is>
        <t>VEHICLE BUDGET 2020-2021</t>
      </is>
    </oc>
    <nc r="A1" t="inlineStr">
      <is>
        <t>VEHICLE BUDGET 2021-2022</t>
      </is>
    </nc>
  </rcc>
  <rcc rId="2737" sId="1">
    <oc r="A1" t="inlineStr">
      <is>
        <t>VEHICLE BUDGET 2020-2021</t>
      </is>
    </oc>
    <nc r="A1" t="inlineStr">
      <is>
        <t>VEHICLE BUDGET 2021-2022</t>
      </is>
    </nc>
  </rcc>
  <rcc rId="2738" sId="3">
    <oc r="A1" t="inlineStr">
      <is>
        <t>VEHICLE BUDGET 2020-2021</t>
      </is>
    </oc>
    <nc r="A1" t="inlineStr">
      <is>
        <t>VEHICLE BUDGET 2021-2022</t>
      </is>
    </nc>
  </rcc>
  <rcc rId="2739" sId="4">
    <oc r="A1" t="inlineStr">
      <is>
        <t>VEHICLE BUDGET 2020-2021</t>
      </is>
    </oc>
    <nc r="A1" t="inlineStr">
      <is>
        <t>VEHICLE BUDGET 2021-2022</t>
      </is>
    </nc>
  </rcc>
  <rcc rId="2740" sId="5">
    <oc r="A1" t="inlineStr">
      <is>
        <t>VEHICLE BUDGET 2020-2021</t>
      </is>
    </oc>
    <nc r="A1" t="inlineStr">
      <is>
        <t>VEHICLE BUDGET 2021-2022</t>
      </is>
    </nc>
  </rcc>
  <rcc rId="2741" sId="6">
    <oc r="A1" t="inlineStr">
      <is>
        <t>VEHICLE BUDGET 2020-2021</t>
      </is>
    </oc>
    <nc r="A1" t="inlineStr">
      <is>
        <t>VEHICLE BUDGET 2021-2022</t>
      </is>
    </nc>
  </rcc>
  <rcc rId="2742" sId="7">
    <oc r="A1" t="inlineStr">
      <is>
        <t>VEHICLE BUDGET 2020-2021</t>
      </is>
    </oc>
    <nc r="A1" t="inlineStr">
      <is>
        <t>VEHICLE BUDGET 2021-2022</t>
      </is>
    </nc>
  </rcc>
  <rcc rId="2743" sId="8">
    <oc r="A1" t="inlineStr">
      <is>
        <t>VEHICLE BUDGET 2020-2021</t>
      </is>
    </oc>
    <nc r="A1" t="inlineStr">
      <is>
        <t>VEHICLE BUDGET 2021-2022</t>
      </is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K29">
    <dxf>
      <fill>
        <patternFill patternType="solid">
          <bgColor rgb="FF7030A0"/>
        </patternFill>
      </fill>
    </dxf>
  </rfmt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K17">
    <dxf>
      <fill>
        <patternFill patternType="solid">
          <bgColor rgb="FF7030A0"/>
        </patternFill>
      </fill>
    </dxf>
  </rfmt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6" sId="7" numFmtId="34">
    <oc r="K29">
      <v>2400</v>
    </oc>
    <nc r="K29">
      <f>1932*1.06</f>
    </nc>
  </rcc>
  <rfmt sheetId="7" sqref="K29">
    <dxf>
      <fill>
        <patternFill patternType="solid">
          <bgColor rgb="FF7030A0"/>
        </patternFill>
      </fill>
    </dxf>
  </rfmt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7" sId="4">
    <oc r="K21">
      <f>2000</f>
    </oc>
    <nc r="K21">
      <f>1932*1.06</f>
    </nc>
  </rcc>
  <rfmt sheetId="4" sqref="K21">
    <dxf>
      <fill>
        <patternFill patternType="solid">
          <bgColor rgb="FF7030A0"/>
        </patternFill>
      </fill>
    </dxf>
  </rfmt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8" sId="5" numFmtId="34">
    <oc r="K66">
      <v>2400</v>
    </oc>
    <nc r="K66">
      <f>2952*1.06</f>
    </nc>
  </rcc>
  <rfmt sheetId="5" sqref="K66">
    <dxf>
      <fill>
        <patternFill patternType="solid">
          <bgColor rgb="FF7030A0"/>
        </patternFill>
      </fill>
    </dxf>
  </rfmt>
  <rcc rId="3399" sId="5" odxf="1" dxf="1" numFmtId="34">
    <oc r="K67">
      <v>2400</v>
    </oc>
    <nc r="K67">
      <f>2952*1.06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  <rfmt sheetId="5" sqref="K67">
    <dxf>
      <fill>
        <patternFill>
          <bgColor theme="0"/>
        </patternFill>
      </fill>
    </dxf>
  </rfmt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K67">
    <dxf>
      <fill>
        <patternFill>
          <bgColor rgb="FF7030A0"/>
        </patternFill>
      </fill>
    </dxf>
  </rfmt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K20">
    <dxf>
      <fill>
        <patternFill patternType="solid">
          <bgColor rgb="FF7030A0"/>
        </patternFill>
      </fill>
    </dxf>
  </rfmt>
  <rfmt sheetId="5" sqref="K21">
    <dxf>
      <fill>
        <patternFill patternType="solid">
          <bgColor rgb="FF7030A0"/>
        </patternFill>
      </fill>
    </dxf>
  </rfmt>
  <rfmt sheetId="5" sqref="K18">
    <dxf>
      <fill>
        <patternFill patternType="solid">
          <bgColor rgb="FF7030A0"/>
        </patternFill>
      </fill>
    </dxf>
  </rfmt>
  <rfmt sheetId="5" sqref="K22">
    <dxf>
      <fill>
        <patternFill patternType="solid">
          <bgColor rgb="FF7030A0"/>
        </patternFill>
      </fill>
    </dxf>
  </rfmt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K28">
    <dxf>
      <fill>
        <patternFill patternType="solid">
          <bgColor rgb="FF7030A0"/>
        </patternFill>
      </fill>
    </dxf>
  </rfmt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K30">
    <dxf>
      <fill>
        <patternFill patternType="solid">
          <bgColor rgb="FF7030A0"/>
        </patternFill>
      </fill>
    </dxf>
  </rfmt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0" sId="6" numFmtId="34">
    <oc r="K80">
      <v>17160</v>
    </oc>
    <nc r="K80">
      <f>9228*1.06</f>
    </nc>
  </rcc>
  <rcc rId="3401" sId="6" numFmtId="34">
    <oc r="K81">
      <v>17160</v>
    </oc>
    <nc r="K81">
      <f>9228*1.06</f>
    </nc>
  </rcc>
  <rcc rId="3402" sId="6" numFmtId="34">
    <oc r="K78">
      <v>17160</v>
    </oc>
    <nc r="K78">
      <f>9228*1.06</f>
    </nc>
  </rcc>
  <rcc rId="3403" sId="6" numFmtId="34">
    <oc r="K79">
      <v>17160</v>
    </oc>
    <nc r="K79">
      <f>9228*1.06</f>
    </nc>
  </rcc>
  <rfmt sheetId="6" sqref="K80">
    <dxf>
      <fill>
        <patternFill patternType="solid">
          <bgColor rgb="FF7030A0"/>
        </patternFill>
      </fill>
    </dxf>
  </rfmt>
  <rfmt sheetId="6" sqref="K81">
    <dxf>
      <fill>
        <patternFill patternType="solid">
          <bgColor rgb="FF7030A0"/>
        </patternFill>
      </fill>
    </dxf>
  </rfmt>
  <rfmt sheetId="6" sqref="K79">
    <dxf>
      <fill>
        <patternFill patternType="solid">
          <bgColor rgb="FF7030A0"/>
        </patternFill>
      </fill>
    </dxf>
  </rfmt>
  <rfmt sheetId="6" sqref="K78">
    <dxf>
      <fill>
        <patternFill patternType="solid">
          <bgColor rgb="FF7030A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4" sId="9" numFmtId="34">
    <oc r="A4">
      <v>16</v>
    </oc>
    <nc r="A4">
      <v>22</v>
    </nc>
  </rcc>
  <rcc rId="2745" sId="9" numFmtId="13">
    <oc r="A2">
      <v>-0.27500000000000002</v>
    </oc>
    <nc r="A2">
      <v>-0.22500000000000001</v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4" sId="4">
    <oc r="B45" t="inlineStr">
      <is>
        <t>HERSOFAM</t>
      </is>
    </oc>
    <nc r="B45" t="inlineStr">
      <is>
        <t>HERSOFAM DNR343N</t>
      </is>
    </nc>
  </rcc>
  <rcc rId="3405" sId="4">
    <oc r="A45" t="inlineStr">
      <is>
        <t>DNR 343 N</t>
      </is>
    </oc>
    <nc r="A45" t="inlineStr">
      <is>
        <t>DMY  822 L</t>
      </is>
    </nc>
  </rcc>
  <rcc rId="3406" sId="4" numFmtId="34">
    <oc r="K45">
      <v>468</v>
    </oc>
    <nc r="K45">
      <f>354*1.06</f>
    </nc>
  </rcc>
  <rfmt sheetId="4" sqref="K45">
    <dxf>
      <fill>
        <patternFill>
          <bgColor rgb="FF7030A0"/>
        </patternFill>
      </fill>
    </dxf>
  </rfmt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7" sId="5">
    <oc r="A52" t="inlineStr">
      <is>
        <t>ATLAS COMPR</t>
      </is>
    </oc>
    <nc r="A52" t="inlineStr">
      <is>
        <t>ATLAS COMPR DNK346L</t>
      </is>
    </nc>
  </rcc>
  <rcc rId="3408" sId="5">
    <oc r="B52" t="inlineStr">
      <is>
        <t>DNK 346 N</t>
      </is>
    </oc>
    <nc r="B52" t="inlineStr">
      <is>
        <t>DMY 766 L</t>
      </is>
    </nc>
  </rcc>
  <rcc rId="3409" sId="5" numFmtId="34">
    <oc r="K52">
      <v>468</v>
    </oc>
    <nc r="K52">
      <f>168*1.06</f>
    </nc>
  </rcc>
  <rfmt sheetId="5" sqref="K52">
    <dxf>
      <fill>
        <patternFill>
          <bgColor rgb="FF7030A0"/>
        </patternFill>
      </fill>
    </dxf>
  </rfmt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" sId="6">
    <oc r="A93" t="inlineStr">
      <is>
        <t>GALLION</t>
      </is>
    </oc>
    <nc r="A93" t="inlineStr">
      <is>
        <t>GALLION DKX035N</t>
      </is>
    </nc>
  </rcc>
  <rcc rId="3411" sId="6">
    <oc r="B93" t="inlineStr">
      <is>
        <t>DKX 035 N [063]</t>
      </is>
    </oc>
    <nc r="B93" t="inlineStr">
      <is>
        <t>DPR 373 L</t>
      </is>
    </nc>
  </rcc>
  <rcc rId="3412" sId="6">
    <oc r="G93">
      <f>710*(1+CALC!$A$2)</f>
    </oc>
    <nc r="G93"/>
  </rcc>
  <rcc rId="3413" sId="6">
    <oc r="H93">
      <f>3100*(1+CALC!$A$2)</f>
    </oc>
    <nc r="H93"/>
  </rcc>
  <rcc rId="3414" sId="6" numFmtId="34">
    <oc r="K93">
      <v>468</v>
    </oc>
    <nc r="K93">
      <f>168*1.06</f>
    </nc>
  </rcc>
  <rfmt sheetId="6" sqref="K93">
    <dxf>
      <fill>
        <patternFill>
          <bgColor rgb="FF7030A0"/>
        </patternFill>
      </fill>
    </dxf>
  </rfmt>
  <rcc rId="3415" sId="7">
    <oc r="A56" t="inlineStr">
      <is>
        <t>WINGET DUMPER</t>
      </is>
    </oc>
    <nc r="A56" t="inlineStr">
      <is>
        <t>WINGET DUMPER DLG106N</t>
      </is>
    </nc>
  </rcc>
  <rcc rId="3416" sId="7">
    <oc r="B56" t="inlineStr">
      <is>
        <t>DLG 106 N [093]</t>
      </is>
    </oc>
    <nc r="B56" t="inlineStr">
      <is>
        <t>DMY 829 L</t>
      </is>
    </nc>
  </rcc>
  <rcc rId="3417" sId="7" numFmtId="34">
    <oc r="K56">
      <v>240</v>
    </oc>
    <nc r="K56">
      <f>168*1.06</f>
    </nc>
  </rcc>
  <rfmt sheetId="7" sqref="K56">
    <dxf>
      <fill>
        <patternFill>
          <bgColor rgb="FF7030A0"/>
        </patternFill>
      </fill>
    </dxf>
  </rfmt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8" sId="6">
    <oc r="A90" t="inlineStr">
      <is>
        <t>FLEXIAN TRAILER</t>
      </is>
    </oc>
    <nc r="A90" t="inlineStr">
      <is>
        <t>FLEXIAN TRAILER DNB886N</t>
      </is>
    </nc>
  </rcc>
  <rcc rId="3419" sId="6">
    <oc r="B90" t="inlineStr">
      <is>
        <t>DNB 886 N [063]</t>
      </is>
    </oc>
    <nc r="B90" t="inlineStr">
      <is>
        <t>DMY 831 L</t>
      </is>
    </nc>
  </rcc>
  <rcc rId="3420" sId="6" numFmtId="34">
    <oc r="K90">
      <v>468</v>
    </oc>
    <nc r="K90">
      <f>168*1.06</f>
    </nc>
  </rcc>
  <rfmt sheetId="6" sqref="K90">
    <dxf>
      <fill>
        <patternFill>
          <bgColor rgb="FF7030A0"/>
        </patternFill>
      </fill>
    </dxf>
  </rfmt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1" sId="6">
    <oc r="K111">
      <f>258*1.1</f>
    </oc>
    <nc r="K111">
      <f>258*1.06</f>
    </nc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2" sId="4">
    <oc r="A34" t="inlineStr">
      <is>
        <t>DKN 792 L [105]</t>
      </is>
    </oc>
    <nc r="A34" t="inlineStr">
      <is>
        <t>DKN 794 L [105]</t>
      </is>
    </nc>
  </rcc>
  <rcc rId="3423" sId="4" numFmtId="34">
    <oc r="K34">
      <v>390</v>
    </oc>
    <nc r="K34">
      <f>258*1.06</f>
    </nc>
  </rcc>
  <rfmt sheetId="4" sqref="K34">
    <dxf>
      <fill>
        <patternFill>
          <bgColor rgb="FF7030A0"/>
        </patternFill>
      </fill>
    </dxf>
  </rfmt>
  <rcc rId="3424" sId="4" odxf="1" dxf="1" numFmtId="34">
    <oc r="K35">
      <v>390</v>
    </oc>
    <nc r="K35">
      <f>258*1.06</f>
    </nc>
    <odxf>
      <fill>
        <patternFill>
          <bgColor theme="6"/>
        </patternFill>
      </fill>
    </odxf>
    <ndxf>
      <fill>
        <patternFill>
          <bgColor rgb="FF7030A0"/>
        </patternFill>
      </fill>
    </ndxf>
  </rcc>
  <rcc rId="3425" sId="4">
    <oc r="K33">
      <f>258*1.1</f>
    </oc>
    <nc r="K33">
      <f>258*1.06</f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6" numFmtId="4">
    <oc r="D89">
      <v>800</v>
    </oc>
    <nc r="D89">
      <v>0</v>
    </nc>
  </rcc>
  <rcc rId="3427" sId="6">
    <oc r="K16">
      <f>+K14+K15+#REF!</f>
    </oc>
    <nc r="K16">
      <f>SUM(K13:K15)</f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8" sId="9">
    <nc r="B22" t="inlineStr">
      <is>
        <t>Total Insurance</t>
      </is>
    </nc>
  </rcc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9" sId="9">
    <nc r="A22" t="inlineStr">
      <is>
        <t>622 500</t>
      </is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0" sId="9" numFmtId="34">
    <oc r="A4">
      <v>25</v>
    </oc>
    <nc r="A4">
      <v>23.5</v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  <oldFormula>'COMMUNITY SERV'!$P:$P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A21:C21">
    <dxf>
      <fill>
        <patternFill patternType="solid">
          <bgColor rgb="FFFFFF00"/>
        </patternFill>
      </fill>
    </dxf>
  </rfmt>
  <rcc rId="2771" sId="6">
    <nc r="J21" t="inlineStr">
      <is>
        <t>Parks</t>
      </is>
    </nc>
  </rcc>
  <rfmt sheetId="6" sqref="J21" start="0" length="2147483647">
    <dxf>
      <font>
        <color rgb="FFFF0000"/>
      </font>
    </dxf>
  </rfmt>
  <rfmt sheetId="6" sqref="J21">
    <dxf>
      <fill>
        <patternFill patternType="solid">
          <bgColor rgb="FFC00000"/>
        </patternFill>
      </fill>
    </dxf>
  </rfmt>
  <rfmt sheetId="6" sqref="J21" start="0" length="2147483647">
    <dxf>
      <font>
        <color auto="1"/>
      </font>
    </dxf>
  </rfmt>
  <rfmt sheetId="4" sqref="A7:C7">
    <dxf>
      <fill>
        <patternFill patternType="solid">
          <bgColor rgb="FFFFFF00"/>
        </patternFill>
      </fill>
    </dxf>
  </rfmt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6" sId="9">
    <oc r="A22" t="inlineStr">
      <is>
        <t>622 500</t>
      </is>
    </oc>
    <nc r="A22">
      <v>622500</v>
    </nc>
  </rcc>
  <rcc rId="3457" sId="6">
    <oc r="G7">
      <f>5481.62*(1+CALC!$A$2)</f>
    </oc>
    <nc r="G7">
      <f>CALC!$A$22*(CEM!K7/CEM!K$146)</f>
    </nc>
  </rcc>
  <rcc rId="3458" sId="6">
    <oc r="G8">
      <f>5481.62*(1+CALC!$A$2)</f>
    </oc>
    <nc r="G8">
      <f>CALC!$A$22*(CEM!K8/CEM!K$146)</f>
    </nc>
  </rcc>
  <rcc rId="3459" sId="6">
    <oc r="G13">
      <f>5481.62*(1+CALC!$A$2)</f>
    </oc>
    <nc r="G13">
      <f>CALC!$A$22*(CEM!K13/CEM!K$146)</f>
    </nc>
  </rcc>
  <rcc rId="3460" sId="6">
    <oc r="G14">
      <f>5481.62*(1+CALC!$A$2)</f>
    </oc>
    <nc r="G14">
      <f>CALC!$A$22*(CEM!K14/CEM!K$146)</f>
    </nc>
  </rcc>
  <rcc rId="3461" sId="6">
    <oc r="G15">
      <f>5481.62*(1+CALC!$A$2)</f>
    </oc>
    <nc r="G15">
      <f>CALC!$A$22*(CEM!K15/CEM!K$146)</f>
    </nc>
  </rcc>
  <rcc rId="3462" sId="6">
    <oc r="G20">
      <f>9000*(1+CALC!$A$2)</f>
    </oc>
    <nc r="G20">
      <f>CALC!$A$22*(CEM!K20/CEM!K$146)</f>
    </nc>
  </rcc>
  <rcc rId="3463" sId="6">
    <oc r="G21">
      <f>9000*(1+CALC!$A$2)</f>
    </oc>
    <nc r="G21">
      <f>CALC!$A$22*(CEM!K21/CEM!K$146)</f>
    </nc>
  </rcc>
  <rcc rId="3464" sId="6">
    <oc r="G22">
      <f>9000*(1+CALC!$A$2)</f>
    </oc>
    <nc r="G22">
      <f>CALC!$A$22*(CEM!K22/CEM!K$146)</f>
    </nc>
  </rcc>
  <rcc rId="3465" sId="6">
    <oc r="G27">
      <f>6057.27*(1+CALC!$A$2)</f>
    </oc>
    <nc r="G27">
      <f>CALC!$A$22*(CEM!K27/CEM!K$146)</f>
    </nc>
  </rcc>
  <rcc rId="3466" sId="6">
    <oc r="G28">
      <f>6057.27*(1+CALC!$A$2)</f>
    </oc>
    <nc r="G28">
      <f>CALC!$A$22*(CEM!K28/CEM!K$146)</f>
    </nc>
  </rcc>
  <rcc rId="3467" sId="6">
    <oc r="G29">
      <f>6057.27*(1+CALC!$A$2)</f>
    </oc>
    <nc r="G29">
      <f>CALC!$A$22*(CEM!K29/CEM!K$146)</f>
    </nc>
  </rcc>
  <rcc rId="3468" sId="6">
    <oc r="G30">
      <f>6057.27*(1+CALC!$A$2)</f>
    </oc>
    <nc r="G30">
      <f>CALC!$A$22*(CEM!K30/CEM!K$146)</f>
    </nc>
  </rcc>
  <rcc rId="3469" sId="6">
    <oc r="G35">
      <f>6057.27*(1+CALC!$A$2)</f>
    </oc>
    <nc r="G35">
      <f>CALC!$A$22*(CEM!K35/CEM!K$146)</f>
    </nc>
  </rcc>
  <rcc rId="3470" sId="6">
    <oc r="G40">
      <f>6057.27*(1+CALC!$A$2)</f>
    </oc>
    <nc r="G40">
      <f>CALC!$A$22*(CEM!K40/CEM!K$146)</f>
    </nc>
  </rcc>
  <rcc rId="3471" sId="6">
    <oc r="G46">
      <f>6057.27*(1+CALC!$A$2)</f>
    </oc>
    <nc r="G46">
      <f>CALC!$A$22*(CEM!K46/CEM!K$146)</f>
    </nc>
  </rcc>
  <rcc rId="3472" sId="6">
    <oc r="G47">
      <f>6057.27*(1+CALC!$A$2)</f>
    </oc>
    <nc r="G47">
      <f>CALC!$A$22*(CEM!K47/CEM!K$146)</f>
    </nc>
  </rcc>
  <rcc rId="3473" sId="6">
    <oc r="G53">
      <f>33000*(1+CALC!$A$2)</f>
    </oc>
    <nc r="G53">
      <f>CALC!$A$22*(CEM!K53/CEM!K$146)</f>
    </nc>
  </rcc>
  <rcc rId="3474" sId="6">
    <oc r="G54">
      <f>33000*(1+CALC!$A$2)</f>
    </oc>
    <nc r="G54">
      <f>CALC!$A$22*(CEM!K54/CEM!K$146)</f>
    </nc>
  </rcc>
  <rcc rId="3475" sId="6">
    <oc r="G55">
      <f>33000*(1+CALC!$A$2)</f>
    </oc>
    <nc r="G55">
      <f>CALC!$A$22*(CEM!K55/CEM!K$146)</f>
    </nc>
  </rcc>
  <rcc rId="3476" sId="6">
    <oc r="G60">
      <f>33000*(1+CALC!$A$2)</f>
    </oc>
    <nc r="G60">
      <f>CALC!$A$22*(CEM!K60/CEM!K$146)</f>
    </nc>
  </rcc>
  <rcc rId="3477" sId="6">
    <oc r="G61">
      <f>33000*(1+CALC!$A$2)</f>
    </oc>
    <nc r="G61">
      <f>CALC!$A$22*(CEM!K61/CEM!K$146)</f>
    </nc>
  </rcc>
  <rcc rId="3478" sId="6">
    <oc r="G66">
      <f>33000*(1+CALC!$A$2)</f>
    </oc>
    <nc r="G66">
      <f>CALC!$A$22*(CEM!K66/CEM!K$146)</f>
    </nc>
  </rcc>
  <rcc rId="3479" sId="6">
    <oc r="G67">
      <f>33000*(1+CALC!$A$2)</f>
    </oc>
    <nc r="G67">
      <f>CALC!$A$22*(CEM!K67/CEM!K$146)</f>
    </nc>
  </rcc>
  <rcc rId="3480" sId="6" numFmtId="34">
    <oc r="K66">
      <v>0</v>
    </oc>
    <nc r="K66">
      <f>168*1.06</f>
    </nc>
  </rcc>
  <rcc rId="3481" sId="6" numFmtId="34">
    <oc r="K67">
      <v>0</v>
    </oc>
    <nc r="K67">
      <f>168*1.06</f>
    </nc>
  </rcc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2" sId="6">
    <oc r="G7">
      <f>CALC!$A$22*(CEM!K7/CEM!K$146)</f>
    </oc>
    <nc r="G7">
      <f>CALC!$A$22*(CEM!I7/CEM!I$146)</f>
    </nc>
  </rcc>
  <rcc rId="3483" sId="6">
    <oc r="G8">
      <f>CALC!$A$22*(CEM!K8/CEM!K$146)</f>
    </oc>
    <nc r="G8">
      <f>CALC!$A$22*(CEM!I8/CEM!I$146)</f>
    </nc>
  </rcc>
  <rcc rId="3484" sId="6">
    <oc r="G13">
      <f>CALC!$A$22*(CEM!K13/CEM!K$146)</f>
    </oc>
    <nc r="G13">
      <f>CALC!$A$22*(CEM!I13/CEM!I$146)</f>
    </nc>
  </rcc>
  <rcc rId="3485" sId="6">
    <oc r="G14">
      <f>CALC!$A$22*(CEM!K14/CEM!K$146)</f>
    </oc>
    <nc r="G14">
      <f>CALC!$A$22*(CEM!I14/CEM!I$146)</f>
    </nc>
  </rcc>
  <rcc rId="3486" sId="6">
    <oc r="G15">
      <f>CALC!$A$22*(CEM!K15/CEM!K$146)</f>
    </oc>
    <nc r="G15">
      <f>CALC!$A$22*(CEM!I15/CEM!I$146)</f>
    </nc>
  </rcc>
  <rcc rId="3487" sId="6">
    <oc r="G20">
      <f>CALC!$A$22*(CEM!K20/CEM!K$146)</f>
    </oc>
    <nc r="G20">
      <f>CALC!$A$22*(CEM!I20/CEM!I$146)</f>
    </nc>
  </rcc>
  <rcc rId="3488" sId="6">
    <oc r="G21">
      <f>CALC!$A$22*(CEM!K21/CEM!K$146)</f>
    </oc>
    <nc r="G21">
      <f>CALC!$A$22*(CEM!I21/CEM!I$146)</f>
    </nc>
  </rcc>
  <rcc rId="3489" sId="6">
    <oc r="G22">
      <f>CALC!$A$22*(CEM!K22/CEM!K$146)</f>
    </oc>
    <nc r="G22">
      <f>CALC!$A$22*(CEM!I22/CEM!I$146)</f>
    </nc>
  </rcc>
  <rcc rId="3490" sId="6">
    <oc r="G27">
      <f>CALC!$A$22*(CEM!K27/CEM!K$146)</f>
    </oc>
    <nc r="G27">
      <f>CALC!$A$22*(CEM!I27/CEM!I$146)</f>
    </nc>
  </rcc>
  <rcc rId="3491" sId="6">
    <oc r="G28">
      <f>CALC!$A$22*(CEM!K28/CEM!K$146)</f>
    </oc>
    <nc r="G28">
      <f>CALC!$A$22*(CEM!I28/CEM!I$146)</f>
    </nc>
  </rcc>
  <rcc rId="3492" sId="6">
    <oc r="G29">
      <f>CALC!$A$22*(CEM!K29/CEM!K$146)</f>
    </oc>
    <nc r="G29">
      <f>CALC!$A$22*(CEM!I29/CEM!I$146)</f>
    </nc>
  </rcc>
  <rcc rId="3493" sId="6">
    <oc r="G30">
      <f>CALC!$A$22*(CEM!K30/CEM!K$146)</f>
    </oc>
    <nc r="G30">
      <f>CALC!$A$22*(CEM!I30/CEM!I$146)</f>
    </nc>
  </rcc>
  <rcc rId="3494" sId="6">
    <oc r="G35">
      <f>CALC!$A$22*(CEM!K35/CEM!K$146)</f>
    </oc>
    <nc r="G35">
      <f>CALC!$A$22*(CEM!I35/CEM!I$146)</f>
    </nc>
  </rcc>
  <rcc rId="3495" sId="6">
    <oc r="G40">
      <f>CALC!$A$22*(CEM!K40/CEM!K$146)</f>
    </oc>
    <nc r="G40">
      <f>CALC!$A$22*(CEM!I40/CEM!I$146)</f>
    </nc>
  </rcc>
  <rcc rId="3496" sId="6">
    <oc r="G46">
      <f>CALC!$A$22*(CEM!K46/CEM!K$146)</f>
    </oc>
    <nc r="G46">
      <f>CALC!$A$22*(CEM!I46/CEM!I$146)</f>
    </nc>
  </rcc>
  <rcc rId="3497" sId="6">
    <oc r="G47">
      <f>CALC!$A$22*(CEM!K47/CEM!K$146)</f>
    </oc>
    <nc r="G47">
      <f>CALC!$A$22*(CEM!I47/CEM!I$146)</f>
    </nc>
  </rcc>
  <rcc rId="3498" sId="6">
    <oc r="G53">
      <f>CALC!$A$22*(CEM!K53/CEM!K$146)</f>
    </oc>
    <nc r="G53">
      <f>CALC!$A$22*(CEM!I53/CEM!I$146)</f>
    </nc>
  </rcc>
  <rcc rId="3499" sId="6">
    <oc r="G54">
      <f>CALC!$A$22*(CEM!K54/CEM!K$146)</f>
    </oc>
    <nc r="G54">
      <f>CALC!$A$22*(CEM!I54/CEM!I$146)</f>
    </nc>
  </rcc>
  <rcc rId="3500" sId="6">
    <oc r="G55">
      <f>CALC!$A$22*(CEM!K55/CEM!K$146)</f>
    </oc>
    <nc r="G55">
      <f>CALC!$A$22*(CEM!I55/CEM!I$146)</f>
    </nc>
  </rcc>
  <rcc rId="3501" sId="6">
    <oc r="G60">
      <f>CALC!$A$22*(CEM!K60/CEM!K$146)</f>
    </oc>
    <nc r="G60">
      <f>CALC!$A$22*(CEM!I60/CEM!I$146)</f>
    </nc>
  </rcc>
  <rcc rId="3502" sId="6">
    <oc r="G61">
      <f>CALC!$A$22*(CEM!K61/CEM!K$146)</f>
    </oc>
    <nc r="G61">
      <f>CALC!$A$22*(CEM!I61/CEM!I$146)</f>
    </nc>
  </rcc>
  <rcc rId="3503" sId="6">
    <oc r="G66">
      <f>CALC!$A$22*(CEM!K66/CEM!K$146)</f>
    </oc>
    <nc r="G66">
      <f>CALC!$A$22*(CEM!I66/CEM!I$146)</f>
    </nc>
  </rcc>
  <rcc rId="3504" sId="6">
    <oc r="G67">
      <f>CALC!$A$22*(CEM!K67/CEM!K$146)</f>
    </oc>
    <nc r="G67">
      <f>CALC!$A$22*(CEM!I67/CEM!I$146)</f>
    </nc>
  </rcc>
  <rcc rId="3505" sId="6">
    <oc r="G72">
      <f>33000*(1+CALC!$A$2)</f>
    </oc>
    <nc r="G72">
      <f>CALC!$A$22*(CEM!I72/CEM!I$146)</f>
    </nc>
  </rcc>
  <rcc rId="3506" sId="6">
    <oc r="G73">
      <f>33000*(1+CALC!$A$2)</f>
    </oc>
    <nc r="G73">
      <f>CALC!$A$22*(CEM!I73/CEM!I$146)</f>
    </nc>
  </rcc>
  <rcc rId="3507" sId="6">
    <oc r="G78">
      <f>6058*(1+CALC!$A$2)</f>
    </oc>
    <nc r="G78">
      <f>CALC!$A$22*(CEM!I78/CEM!I$146)</f>
    </nc>
  </rcc>
  <rcc rId="3508" sId="6">
    <oc r="G79">
      <f>6058*(1+CALC!$A$2)</f>
    </oc>
    <nc r="G79">
      <f>CALC!$A$22*(CEM!I79/CEM!I$146)</f>
    </nc>
  </rcc>
  <rcc rId="3509" sId="6">
    <oc r="G80">
      <f>6058*(1+CALC!$A$2)</f>
    </oc>
    <nc r="G80">
      <f>CALC!$A$22*(CEM!I80/CEM!I$146)</f>
    </nc>
  </rcc>
  <rcc rId="3510" sId="6">
    <oc r="G81">
      <f>6058*(1+CALC!$A$2)</f>
    </oc>
    <nc r="G81">
      <f>CALC!$A$22*(CEM!I81/CEM!I$146)</f>
    </nc>
  </rcc>
  <rcc rId="3511" sId="6" odxf="1" dxf="1">
    <oc r="G87">
      <f>800*(1+CALC!$A$2)</f>
    </oc>
    <nc r="G87">
      <f>CALC!$A$22*(CEM!I87/CEM!I$146)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12" sId="6" odxf="1" dxf="1">
    <oc r="G88">
      <f>1800*(1+CALC!$A$2)</f>
    </oc>
    <nc r="G88">
      <f>CALC!$A$22*(CEM!I88/CEM!I$146)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13" sId="6" odxf="1" dxf="1">
    <oc r="G89">
      <f>710*(1+CALC!$A$2)</f>
    </oc>
    <nc r="G89">
      <f>CALC!$A$22*(CEM!I89/CEM!I$146)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14" sId="6" odxf="1" dxf="1">
    <oc r="G90">
      <f>710*(1+CALC!$A$2)</f>
    </oc>
    <nc r="G90">
      <f>CALC!$A$22*(CEM!I90/CEM!I$146)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15" sId="6" odxf="1" dxf="1">
    <oc r="G91">
      <f>710*(1+CALC!$A$2)</f>
    </oc>
    <nc r="G91">
      <f>CALC!$A$22*(CEM!I91/CEM!I$146)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16" sId="6" odxf="1" dxf="1">
    <oc r="G92">
      <f>710*(1+CALC!$A$2)</f>
    </oc>
    <nc r="G92">
      <f>CALC!$A$22*(CEM!I92/CEM!I$146)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17" sId="6" odxf="1" dxf="1">
    <nc r="G93">
      <f>CALC!$A$22*(CEM!I93/CEM!I$146)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18" sId="6" odxf="1" dxf="1" numFmtId="34">
    <oc r="G94">
      <v>0</v>
    </oc>
    <nc r="G94">
      <f>CALC!$A$22*(CEM!I94/CEM!I$146)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19" sId="6" odxf="1" dxf="1" numFmtId="34">
    <oc r="G95">
      <v>0</v>
    </oc>
    <nc r="G95">
      <f>CALC!$A$22*(CEM!I95/CEM!I$146)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0" sId="6" odxf="1" dxf="1" numFmtId="34">
    <oc r="G96">
      <v>0</v>
    </oc>
    <nc r="G96">
      <f>CALC!$A$22*(CEM!I96/CEM!I$146)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1" sId="6" odxf="1" dxf="1">
    <oc r="G97">
      <f>3000*(1+CALC!$A$2)</f>
    </oc>
    <nc r="G97">
      <f>CALC!$A$22*(CEM!I97/CEM!I$146)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2" sId="6" odxf="1" dxf="1">
    <oc r="G98">
      <f>800*(1+CALC!$A$2)</f>
    </oc>
    <nc r="G98">
      <f>CALC!$A$22*(CEM!I98/CEM!I$146)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3" sId="6" odxf="1" dxf="1">
    <oc r="G99">
      <f>800*(1+CALC!$A$2)</f>
    </oc>
    <nc r="G99">
      <f>CALC!$A$22*(CEM!I99/CEM!I$146)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4" sId="6" odxf="1" dxf="1">
    <oc r="G100">
      <f>800*(1+CALC!$A$2)</f>
    </oc>
    <nc r="G100">
      <f>CALC!$A$22*(CEM!I100/CEM!I$146)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5" sId="6" odxf="1" dxf="1">
    <oc r="G101">
      <f>800*(1+CALC!$A$2)</f>
    </oc>
    <nc r="G101">
      <f>CALC!$A$22*(CEM!I101/CEM!I$146)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6" sId="6" odxf="1" dxf="1">
    <oc r="G109">
      <f>3000*(1+CALC!$A$2)</f>
    </oc>
    <nc r="G109">
      <f>CALC!$A$22*(CEM!I109/CEM!I$146)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7" sId="6" odxf="1" dxf="1">
    <oc r="G110">
      <f>756*(1+CALC!$A$2)</f>
    </oc>
    <nc r="G110">
      <f>CALC!$A$22*(CEM!I110/CEM!I$146)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8" sId="6" odxf="1" dxf="1">
    <oc r="G111">
      <f>756*(1+CALC!$A$2)</f>
    </oc>
    <nc r="G111">
      <f>CALC!$A$22*(CEM!I111/CEM!I$146)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29" sId="6" odxf="1" dxf="1">
    <oc r="G116">
      <f>800*(1+CALC!$A$2)</f>
    </oc>
    <nc r="G116">
      <f>CALC!$A$22*(CEM!I116/CEM!I$146)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30" sId="6" odxf="1" dxf="1">
    <oc r="G117">
      <f>800*(1+CALC!$A$2)</f>
    </oc>
    <nc r="G117">
      <f>CALC!$A$22*(CEM!I117/CEM!I$146)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fmt sheetId="1" sqref="G34" start="0" length="0">
    <dxf>
      <fill>
        <patternFill patternType="none">
          <bgColor indexed="65"/>
        </patternFill>
      </fill>
    </dxf>
  </rfmt>
  <rcc rId="3531" sId="1" odxf="1" dxf="1">
    <oc r="G40">
      <f>+G8+G16</f>
    </oc>
    <nc r="G40">
      <f>CALC!$A$22*(CEM!I40/CEM!I$146)</f>
    </nc>
    <odxf>
      <font>
        <b/>
        <sz val="8"/>
        <name val="Consolas"/>
        <family val="3"/>
      </font>
      <fill>
        <patternFill patternType="solid">
          <bgColor theme="2"/>
        </patternFill>
      </fill>
      <alignment horizontal="center" vertical="top"/>
      <border outline="0">
        <top style="medium">
          <color indexed="64"/>
        </top>
        <bottom style="medium">
          <color indexed="64"/>
        </bottom>
      </border>
    </odxf>
    <ndxf>
      <font>
        <b val="0"/>
        <sz val="8"/>
        <name val="Consolas"/>
        <family val="3"/>
      </font>
      <fill>
        <patternFill patternType="none">
          <bgColor indexed="65"/>
        </patternFill>
      </fill>
      <alignment horizontal="general" vertical="bottom"/>
      <border outline="0">
        <top style="thin">
          <color indexed="64"/>
        </top>
        <bottom style="thin">
          <color indexed="64"/>
        </bottom>
      </border>
    </ndxf>
  </rcc>
  <rcc rId="3532" sId="1">
    <oc r="G8">
      <f>5500*(1+CALC!A2)</f>
    </oc>
    <nc r="G8">
      <f>CALC!$A$22*(I8/CEM!I$146)</f>
    </nc>
  </rcc>
  <rcc rId="3533" sId="1">
    <oc r="G9">
      <f>5500*(1+CALC!$A$2)</f>
    </oc>
    <nc r="G9">
      <f>CALC!$A$22*(I9/CEM!I$146)</f>
    </nc>
  </rcc>
  <rcc rId="3534" sId="1">
    <oc r="G15">
      <f>5300*(1+CALC!$A$2)</f>
    </oc>
    <nc r="G15">
      <f>CALC!$A$22*(I15/CEM!I$146)</f>
    </nc>
  </rcc>
  <rcc rId="3535" sId="1">
    <oc r="G16">
      <f>5300*(1+CALC!$A$2)</f>
    </oc>
    <nc r="G16">
      <f>CALC!$A$22*(I16/CEM!I$146)</f>
    </nc>
  </rcc>
  <rcc rId="3536" sId="1">
    <oc r="G22">
      <f>5300*(1+CALC!$A$2)</f>
    </oc>
    <nc r="G22">
      <f>CALC!$A$22*(I22/CEM!I$146)</f>
    </nc>
  </rcc>
  <rcc rId="3537" sId="1">
    <oc r="G34">
      <f>31000*(1+CALC!$A$2)</f>
    </oc>
    <nc r="G34">
      <f>CALC!$A$22*(I34/CEM!I$146)</f>
    </nc>
  </rcc>
  <rcc rId="3538" sId="2">
    <oc r="G9">
      <f>5482*(1+CALC!$A$2)</f>
    </oc>
    <nc r="G9">
      <f>CALC!$A$22*(I9/CEM!I$146)</f>
    </nc>
  </rcc>
  <rcc rId="3539" sId="2">
    <oc r="G10">
      <f>5482*(1+CALC!$A$2)</f>
    </oc>
    <nc r="G10">
      <f>CALC!$A$22*(I10/CEM!I$146)</f>
    </nc>
  </rcc>
  <rcc rId="3540" sId="4" odxf="1" dxf="1">
    <oc r="G7">
      <f>5482*(1+CALC!$A$2)</f>
    </oc>
    <nc r="G7">
      <f>CALC!$A$22*(I7/CEM!I$146)</f>
    </nc>
    <odxf/>
    <ndxf/>
  </rcc>
  <rcc rId="3541" sId="4">
    <oc r="G13">
      <f>6057.27*(1+CALC!$A$2)</f>
    </oc>
    <nc r="G13">
      <f>CALC!$A$22*(I13/CEM!I$146)</f>
    </nc>
  </rcc>
  <rcc rId="3542" sId="4">
    <oc r="G14">
      <f>6057.27*(1+CALC!$A$2)</f>
    </oc>
    <nc r="G14">
      <f>CALC!$A$22*(I14/CEM!I$146)</f>
    </nc>
  </rcc>
  <rcc rId="3543" sId="4">
    <oc r="G20">
      <f>6057.27*(1+CALC!$A$2)</f>
    </oc>
    <nc r="G20">
      <f>CALC!$A$22*(I20/CEM!I$146)</f>
    </nc>
  </rcc>
  <rcc rId="3544" sId="4">
    <oc r="G21">
      <f>6057.27*(1+CALC!$A$2)</f>
    </oc>
    <nc r="G21">
      <f>CALC!$A$22*(I21/CEM!I$146)</f>
    </nc>
  </rcc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  <oldFormula>'COMMUNITY SERV'!$P:$P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G27" start="0" length="0">
    <dxf>
      <font>
        <b/>
        <sz val="8"/>
        <name val="Consolas"/>
        <family val="3"/>
      </font>
    </dxf>
  </rfmt>
  <rcc rId="3570" sId="4" odxf="1" dxf="1">
    <oc r="G27">
      <f>6057.27*(1+CALC!$A$2)</f>
    </oc>
    <nc r="G27">
      <f>CALC!$A$22*(I27/CEM!I$146)</f>
    </nc>
    <ndxf>
      <font>
        <b val="0"/>
        <sz val="8"/>
        <name val="Consolas"/>
        <family val="3"/>
      </font>
    </ndxf>
  </rcc>
  <rcc rId="3571" sId="4" odxf="1" dxf="1">
    <oc r="G33">
      <f>2800*(1+CALC!$A$2)</f>
    </oc>
    <nc r="G33">
      <f>CALC!$A$22*(I33/CEM!I$146)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72" sId="4" odxf="1" dxf="1">
    <oc r="G34">
      <f>756*(1+CALC!$A$2)</f>
    </oc>
    <nc r="G34">
      <f>CALC!$A$22*(I34/CEM!I$146)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73" sId="4" odxf="1" dxf="1">
    <oc r="G35">
      <f>1800*(1+CALC!$A$2)</f>
    </oc>
    <nc r="G35">
      <f>CALC!$A$22*(I35/CEM!I$146)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74" sId="4" odxf="1" dxf="1">
    <oc r="G36">
      <f>2000*(1+CALC!$A$2)</f>
    </oc>
    <nc r="G36">
      <f>CALC!$A$22*(I36/CEM!I$146)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75" sId="4" odxf="1" dxf="1">
    <oc r="G37">
      <f>3000*(1+CALC!$A$2)</f>
    </oc>
    <nc r="G37">
      <f>CALC!$A$22*(I37/CEM!I$146)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76" sId="4" odxf="1" dxf="1">
    <oc r="G38">
      <f>3000*(1+CALC!$A$2)</f>
    </oc>
    <nc r="G38">
      <f>CALC!$A$22*(I38/CEM!I$146)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77" sId="4" odxf="1" dxf="1">
    <oc r="G44">
      <f>710*(1+CALC!$A$2)</f>
    </oc>
    <nc r="G44">
      <f>CALC!$A$22*(I44/CEM!I$146)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78" sId="4" odxf="1" dxf="1">
    <oc r="G45">
      <f>710*(1+CALC!$A$2)</f>
    </oc>
    <nc r="G45">
      <f>CALC!$A$22*(I45/CEM!I$146)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79" sId="4" odxf="1" dxf="1">
    <oc r="G46">
      <f>710*(1+CALC!$A$2)</f>
    </oc>
    <nc r="G46">
      <f>CALC!$A$22*(I46/CEM!I$146)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80" sId="4" odxf="1" dxf="1">
    <oc r="G47">
      <f>1100*(1+CALC!$A$2)</f>
    </oc>
    <nc r="G47">
      <f>CALC!$A$22*(I47/CEM!I$146)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81" sId="4" odxf="1" dxf="1">
    <oc r="G57">
      <f>710*(1+CALC!$A$2)</f>
    </oc>
    <nc r="G57">
      <f>CALC!$A$22*(I57/CEM!I$146)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82" sId="4" odxf="1" dxf="1">
    <oc r="G66">
      <f>53688.31</f>
    </oc>
    <nc r="G66">
      <f>CALC!$A$22*(I66/CEM!I$146)</f>
    </nc>
    <odxf/>
    <ndxf/>
  </rcc>
  <rcc rId="3583" sId="4" odxf="1" dxf="1">
    <oc r="G67">
      <f>21800*(1+CALC!$A$2)</f>
    </oc>
    <nc r="G67">
      <f>CALC!$A$22*(I67/CEM!I$146)</f>
    </nc>
    <odxf/>
    <ndxf/>
  </rcc>
  <rcc rId="3584" sId="4" odxf="1" dxf="1">
    <oc r="G68">
      <f>21800*(1+CALC!$A$2)</f>
    </oc>
    <nc r="G68">
      <f>CALC!$A$22*(I68/CEM!I$146)</f>
    </nc>
    <odxf/>
    <ndxf/>
  </rcc>
  <rcc rId="3585" sId="4" odxf="1" dxf="1">
    <oc r="G69">
      <f>21800*(1+CALC!$A$2)</f>
    </oc>
    <nc r="G69">
      <f>CALC!$A$22*(I69/CEM!I$146)</f>
    </nc>
    <odxf/>
    <ndxf/>
  </rcc>
  <rcc rId="3586" sId="4" odxf="1" dxf="1">
    <oc r="G70">
      <f>21800*(1+CALC!$A$2)</f>
    </oc>
    <nc r="G70">
      <f>CALC!$A$22*(I70/CEM!I$146)</f>
    </nc>
    <odxf/>
    <ndxf/>
  </rcc>
  <rcc rId="3587" sId="4" odxf="1" dxf="1">
    <oc r="G71">
      <f>21800*(1+CALC!$A$2)</f>
    </oc>
    <nc r="G71">
      <f>CALC!$A$22*(I71/CEM!I$146)</f>
    </nc>
    <odxf/>
    <ndxf/>
  </rcc>
  <rcc rId="3588" sId="4" odxf="1" dxf="1">
    <oc r="G72">
      <f>21800*(1+CALC!$A$2)</f>
    </oc>
    <nc r="G72">
      <f>CALC!$A$22*(I72/CEM!I$146)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89" sId="4" odxf="1" dxf="1">
    <oc r="G73">
      <f>21800*(1+CALC!$A$2)</f>
    </oc>
    <nc r="G73">
      <f>CALC!$A$22*(I73/CEM!I$146)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590" sId="4" odxf="1" dxf="1">
    <oc r="G78">
      <f>5482*(1+CALC!$A$2)</f>
    </oc>
    <nc r="G78">
      <f>CALC!$A$22*(I78/CEM!I$146)</f>
    </nc>
    <odxf/>
    <ndxf/>
  </rcc>
  <rcc rId="3591" sId="4" odxf="1" dxf="1">
    <oc r="G79">
      <f>5482*(1+CALC!$A$2)</f>
    </oc>
    <nc r="G79">
      <f>CALC!$A$22*(I79/CEM!I$146)</f>
    </nc>
    <odxf/>
    <ndxf/>
  </rcc>
  <rcc rId="3592" sId="4" odxf="1" dxf="1">
    <oc r="G80">
      <f>5482*(1+CALC!$A$2)</f>
    </oc>
    <nc r="G80">
      <f>CALC!$A$22*(I80/CEM!I$146)</f>
    </nc>
    <odxf/>
    <ndxf/>
  </rcc>
  <rcc rId="3593" sId="4" odxf="1" dxf="1">
    <oc r="G81">
      <f>5482*(1+CALC!$A$2)</f>
    </oc>
    <nc r="G81">
      <f>CALC!$A$22*(I81/CEM!I$146)</f>
    </nc>
    <odxf/>
    <ndxf/>
  </rcc>
  <rcc rId="3594" sId="4" odxf="1" dxf="1">
    <oc r="G82">
      <f>5482*(1+CALC!$A$2)</f>
    </oc>
    <nc r="G82">
      <f>CALC!$A$22*(I82/CEM!I$146)</f>
    </nc>
    <odxf/>
    <ndxf/>
  </rcc>
  <rcc rId="3595" sId="4" odxf="1" dxf="1">
    <oc r="G83">
      <f>5482*(1+CALC!$A$2)</f>
    </oc>
    <nc r="G83">
      <f>CALC!$A$22*(I83/CEM!I$146)</f>
    </nc>
    <odxf/>
    <ndxf/>
  </rcc>
  <rcc rId="3596" sId="4">
    <oc r="G89">
      <f>6057*(1+CALC!$A$2)</f>
    </oc>
    <nc r="G89">
      <f>CALC!$A$22*(I89/CEM!I$146)</f>
    </nc>
  </rcc>
  <rcc rId="3597" sId="4">
    <oc r="G90">
      <f>6057*(1+CALC!$A$2)</f>
    </oc>
    <nc r="G90">
      <f>CALC!$A$22*(I90/CEM!I$146)</f>
    </nc>
  </rcc>
  <rcc rId="3598" sId="4">
    <oc r="G91">
      <f>6057*(1+CALC!$A$2)</f>
    </oc>
    <nc r="G91">
      <f>CALC!$A$22*(I91/CEM!I$146)</f>
    </nc>
  </rcc>
  <rcc rId="3599" sId="4">
    <oc r="G96">
      <f>9718*(1+CALC!$A$2)</f>
    </oc>
    <nc r="G96">
      <f>CALC!$A$22*(I96/CEM!I$146)</f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  <oldFormula>'COMMUNITY SERV'!$P:$P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25" sId="5">
    <oc r="G7">
      <f>5500*(1+CALC!$A$2)</f>
    </oc>
    <nc r="G7">
      <f>CALC!$A$22*(I7/CEM!I$146)</f>
    </nc>
  </rcc>
  <rcc rId="3626" sId="5">
    <oc r="G13">
      <f>6057.278*(1+CALC!$A$2)</f>
    </oc>
    <nc r="G13">
      <f>CALC!$A$22*(I13/CEM!I$146)</f>
    </nc>
  </rcc>
  <rcc rId="3627" sId="5">
    <oc r="G14">
      <f>6057.278*(1+CALC!$A$2)</f>
    </oc>
    <nc r="G14">
      <f>CALC!$A$22*(I14/CEM!I$146)</f>
    </nc>
  </rcc>
  <rcc rId="3628" sId="5">
    <oc r="G15">
      <f>6057.278*(1+CALC!$A$2)</f>
    </oc>
    <nc r="G15">
      <f>CALC!$A$22*(I15/CEM!I$146)</f>
    </nc>
  </rcc>
  <rcc rId="3629" sId="5" numFmtId="34">
    <oc r="G16">
      <v>0</v>
    </oc>
    <nc r="G16">
      <f>CALC!$A$22*(I16/CEM!I$146)</f>
    </nc>
  </rcc>
  <rcc rId="3630" sId="5">
    <oc r="G17">
      <f>6057.278*(1+CALC!$A$2)</f>
    </oc>
    <nc r="G17">
      <f>CALC!$A$22*(I17/CEM!I$146)</f>
    </nc>
  </rcc>
  <rcc rId="3631" sId="5">
    <oc r="G18">
      <f>6057.278*(1+CALC!$A$2)</f>
    </oc>
    <nc r="G18">
      <f>CALC!$A$22*(I18/CEM!I$146)</f>
    </nc>
  </rcc>
  <rcc rId="3632" sId="5">
    <oc r="G19">
      <f>6057.278*(1+CALC!$A$2)</f>
    </oc>
    <nc r="G19">
      <f>CALC!$A$22*(I19/CEM!I$146)</f>
    </nc>
  </rcc>
  <rcc rId="3633" sId="5">
    <oc r="G20">
      <f>6057.278*(1+CALC!$A$2)</f>
    </oc>
    <nc r="G20">
      <f>CALC!$A$22*(I20/CEM!I$146)</f>
    </nc>
  </rcc>
  <rcc rId="3634" sId="5">
    <oc r="G21">
      <f>6057.278*(1+CALC!$A$2)</f>
    </oc>
    <nc r="G21">
      <f>CALC!$A$22*(I21/CEM!I$146)</f>
    </nc>
  </rcc>
  <rcc rId="3635" sId="5">
    <oc r="G22">
      <f>6057.278*(1+CALC!$A$2)</f>
    </oc>
    <nc r="G22">
      <f>CALC!$A$22*(I22/CEM!I$146)</f>
    </nc>
  </rcc>
  <rcc rId="3636" sId="5" odxf="1" dxf="1">
    <oc r="G29">
      <f>5500*(1+CALC!$A$2)</f>
    </oc>
    <nc r="G29">
      <f>CALC!$A$22*(I29/CEM!I$146)</f>
    </nc>
    <odxf>
      <font>
        <sz val="8"/>
        <color rgb="FFFF0000"/>
        <name val="Consolas"/>
        <family val="3"/>
      </font>
    </odxf>
    <ndxf>
      <font>
        <sz val="8"/>
        <color rgb="FFFF0000"/>
        <name val="Consolas"/>
        <family val="3"/>
      </font>
    </ndxf>
  </rcc>
  <rcc rId="3637" sId="5" numFmtId="34">
    <oc r="G30">
      <v>0</v>
    </oc>
    <nc r="G30">
      <f>CALC!$A$22*(I30/CEM!I$146)</f>
    </nc>
  </rcc>
  <rcc rId="3638" sId="5">
    <oc r="G31">
      <f>5500*(1+CALC!$A$2)</f>
    </oc>
    <nc r="G31">
      <f>CALC!$A$22*(I31/CEM!I$146)</f>
    </nc>
  </rcc>
  <rcc rId="3639" sId="5" odxf="1" dxf="1">
    <oc r="G32">
      <f>5500*(1+CALC!$A$2)</f>
    </oc>
    <nc r="G32">
      <f>CALC!$A$22*(I32/CEM!I$146)</f>
    </nc>
    <odxf>
      <font>
        <sz val="8"/>
        <color rgb="FFFF0000"/>
        <name val="Consolas"/>
        <family val="3"/>
      </font>
    </odxf>
    <ndxf>
      <font>
        <sz val="8"/>
        <color rgb="FFFF0000"/>
        <name val="Consolas"/>
        <family val="3"/>
      </font>
    </ndxf>
  </rcc>
  <rcc rId="3640" sId="5" odxf="1" dxf="1" numFmtId="34">
    <oc r="G33">
      <v>0</v>
    </oc>
    <nc r="G33">
      <f>CALC!$A$22*(I33/CEM!I$146)</f>
    </nc>
    <odxf>
      <font>
        <sz val="8"/>
        <color rgb="FFFF0000"/>
        <name val="Consolas"/>
        <family val="3"/>
      </font>
    </odxf>
    <ndxf>
      <font>
        <sz val="8"/>
        <color rgb="FFFF0000"/>
        <name val="Consolas"/>
        <family val="3"/>
      </font>
    </ndxf>
  </rcc>
  <rcc rId="3641" sId="5" odxf="1" dxf="1" numFmtId="34">
    <oc r="G34">
      <v>0</v>
    </oc>
    <nc r="G34">
      <f>CALC!$A$22*(I34/CEM!I$146)</f>
    </nc>
    <odxf>
      <font>
        <sz val="8"/>
        <color rgb="FFFF0000"/>
        <name val="Consolas"/>
        <family val="3"/>
      </font>
    </odxf>
    <ndxf>
      <font>
        <sz val="8"/>
        <color rgb="FFFF0000"/>
        <name val="Consolas"/>
        <family val="3"/>
      </font>
    </ndxf>
  </rcc>
  <rcc rId="3642" sId="5" numFmtId="34">
    <oc r="G35">
      <v>0</v>
    </oc>
    <nc r="G35">
      <f>CALC!$A$22*(I35/CEM!I$146)</f>
    </nc>
  </rcc>
  <rcc rId="3643" sId="5" odxf="1" dxf="1" numFmtId="34">
    <oc r="G36">
      <v>0</v>
    </oc>
    <nc r="G36">
      <f>CALC!$A$22*(I36/CEM!I$146)</f>
    </nc>
    <odxf>
      <font>
        <sz val="8"/>
        <color rgb="FFFF0000"/>
        <name val="Consolas"/>
        <family val="3"/>
      </font>
    </odxf>
    <ndxf>
      <font>
        <sz val="8"/>
        <color rgb="FFFF0000"/>
        <name val="Consolas"/>
        <family val="3"/>
      </font>
    </ndxf>
  </rcc>
  <rcc rId="3644" sId="5" odxf="1" dxf="1" numFmtId="34">
    <oc r="G37">
      <v>0</v>
    </oc>
    <nc r="G37">
      <f>CALC!$A$22*(I37/CEM!I$146)</f>
    </nc>
    <odxf>
      <font>
        <sz val="8"/>
        <color rgb="FFFF0000"/>
        <name val="Consolas"/>
        <family val="3"/>
      </font>
    </odxf>
    <ndxf>
      <font>
        <sz val="8"/>
        <color rgb="FFFF0000"/>
        <name val="Consolas"/>
        <family val="3"/>
      </font>
    </ndxf>
  </rcc>
  <rcc rId="3645" sId="5" numFmtId="34">
    <oc r="G38">
      <v>0</v>
    </oc>
    <nc r="G38">
      <f>CALC!$A$22*(I38/CEM!I$146)</f>
    </nc>
  </rcc>
  <rcc rId="3646" sId="5">
    <oc r="G39">
      <f>5500*(1+CALC!$A$2)</f>
    </oc>
    <nc r="G39">
      <f>CALC!$A$22*(I39/CEM!I$146)</f>
    </nc>
  </rcc>
  <rcc rId="3647" sId="5">
    <oc r="G40">
      <f>5500*(1+CALC!$A$2)</f>
    </oc>
    <nc r="G40">
      <f>CALC!$A$22*(I40/CEM!I$146)</f>
    </nc>
  </rcc>
  <rcc rId="3648" sId="5" numFmtId="34">
    <oc r="G41">
      <v>0</v>
    </oc>
    <nc r="G41">
      <f>CALC!$A$22*(I41/CEM!I$146)</f>
    </nc>
  </rcc>
  <rcc rId="3649" sId="5">
    <oc r="G42">
      <f>5500*(1+CALC!$A$2)</f>
    </oc>
    <nc r="G42">
      <f>CALC!$A$22*(I42/CEM!I$146)</f>
    </nc>
  </rcc>
  <rcc rId="3650" sId="5">
    <oc r="G43">
      <f>5500*(1+CALC!$A$2)</f>
    </oc>
    <nc r="G43">
      <f>CALC!$A$22*(I43/CEM!I$146)</f>
    </nc>
  </rcc>
  <rcc rId="3651" sId="5" numFmtId="34">
    <oc r="G44">
      <v>0</v>
    </oc>
    <nc r="G44">
      <f>CALC!$A$22*(I44/CEM!I$146)</f>
    </nc>
  </rcc>
  <rcc rId="3652" sId="5">
    <oc r="G45">
      <f>5500*(1+CALC!$A$2)</f>
    </oc>
    <nc r="G45">
      <f>CALC!$A$22*(I45/CEM!I$146)</f>
    </nc>
  </rcc>
  <rcc rId="3653" sId="5">
    <oc r="G46">
      <f>5500*(1+CALC!$A$2)</f>
    </oc>
    <nc r="G46">
      <f>CALC!$A$22*(I46/CEM!I$146)</f>
    </nc>
  </rcc>
  <rcc rId="3654" sId="5">
    <oc r="G47">
      <f>5500*(1+CALC!$A$2)</f>
    </oc>
    <nc r="G47">
      <f>CALC!$A$22*(I47/CEM!I$146)</f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  <oldFormula>'COMMUNITY SERV'!$P:$P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0" sId="5" odxf="1" dxf="1">
    <oc r="G52">
      <f>710*(1+CALC!$A$2)</f>
    </oc>
    <nc r="G52">
      <f>CALC!$A$22*(I52/CEM!I$146)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681" sId="5" odxf="1" dxf="1">
    <oc r="G59">
      <f>6200*(1+CALC!$A$2)</f>
    </oc>
    <nc r="G59">
      <f>CALC!$A$22*(I59/CEM!I$146)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682" sId="5">
    <oc r="G66">
      <f>5800*(1+CALC!$A$2)</f>
    </oc>
    <nc r="G66">
      <f>CALC!$A$22*(I66/CEM!I$146)</f>
    </nc>
  </rcc>
  <rcc rId="3683" sId="5">
    <oc r="G67">
      <f>5800*(1+CALC!$A$2)</f>
    </oc>
    <nc r="G67">
      <f>CALC!$A$22*(I67/CEM!I$146)</f>
    </nc>
  </rcc>
  <rcc rId="3684" sId="5">
    <oc r="G73">
      <f>1800*(1+CALC!$A$2)</f>
    </oc>
    <nc r="G73">
      <f>CALC!$A$22*(I73/CEM!I$146)</f>
    </nc>
  </rcc>
  <rcc rId="3685" sId="5">
    <oc r="G74">
      <f>2500*(1+CALC!$A$2)</f>
    </oc>
    <nc r="G74">
      <f>CALC!$A$22*(I74/CEM!I$146)</f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  <oldFormula>'COMMUNITY SERV'!$P:$P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" sId="5">
    <oc r="G80">
      <f>8500*(1+CALC!$A$2)</f>
    </oc>
    <nc r="G80">
      <f>CALC!$A$22*(I80/CEM!I$146)</f>
    </nc>
  </rcc>
  <rcc rId="3712" sId="5" odxf="1" dxf="1">
    <oc r="G86">
      <f>710*(1+CALC!$A$2)</f>
    </oc>
    <nc r="G86">
      <f>CALC!$A$22*(I86/CEM!I$146)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13" sId="5" odxf="1" dxf="1">
    <oc r="G87">
      <f>710*(1+CALC!$A$2)</f>
    </oc>
    <nc r="G87">
      <f>CALC!$A$22*(I87/CEM!I$146)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14" sId="5" odxf="1" dxf="1">
    <oc r="G88">
      <f>710*(1+CALC!$A$2)</f>
    </oc>
    <nc r="G88">
      <f>CALC!$A$22*(I88/CEM!I$146)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15" sId="5" odxf="1" dxf="1">
    <oc r="G89">
      <f>710*(1+CALC!$A$2)</f>
    </oc>
    <nc r="G89">
      <f>CALC!$A$22*(I89/CEM!I$146)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16" sId="5" odxf="1" dxf="1">
    <oc r="G90">
      <f>710*(1+CALC!$A$2)</f>
    </oc>
    <nc r="G90">
      <f>CALC!$A$22*(I90/CEM!I$146)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17" sId="5" odxf="1" dxf="1">
    <nc r="G91">
      <f>CALC!$A$22*(I91/CEM!I$146)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18" sId="5" odxf="1" dxf="1">
    <oc r="G92">
      <f>710*(1+CALC!$A$2)</f>
    </oc>
    <nc r="G92">
      <f>CALC!$A$22*(I92/CEM!I$146)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9" sId="7" odxf="1" dxf="1">
    <oc r="G83">
      <f>9900*(1+CALC!$A$2)</f>
    </oc>
    <nc r="G83">
      <f>CALC!$A$22*(I83/CEM!I$146)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20" sId="7" odxf="1" dxf="1">
    <oc r="G62">
      <f>8600*(1+CALC!$A$2)</f>
    </oc>
    <nc r="G62">
      <f>CALC!$A$22*(I62/CEM!I$146)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21" sId="7" odxf="1" dxf="1">
    <oc r="G56">
      <f>710*(1+CALC!$A$2)</f>
    </oc>
    <nc r="G56">
      <f>CALC!$A$22*(I56/CEM!I$146)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22" sId="7" odxf="1" dxf="1">
    <oc r="G44">
      <f>6057.27*(1+CALC!$A$2)</f>
    </oc>
    <nc r="G44">
      <f>CALC!$A$22*(I44/CEM!I$146)</f>
    </nc>
    <odxf>
      <font>
        <b/>
        <sz val="8"/>
        <name val="Consolas"/>
        <family val="3"/>
      </font>
    </odxf>
    <ndxf>
      <font>
        <b val="0"/>
        <sz val="8"/>
        <name val="Consolas"/>
        <family val="3"/>
      </font>
    </ndxf>
  </rcc>
  <rcc rId="3723" sId="7" odxf="1" dxf="1">
    <oc r="G39">
      <f>6057.27*(1+CALC!$A$2)</f>
    </oc>
    <nc r="G39">
      <f>CALC!$A$22*(I39/CEM!I$146)</f>
    </nc>
    <odxf>
      <font>
        <b/>
        <sz val="8"/>
        <name val="Consolas"/>
        <family val="3"/>
      </font>
    </odxf>
    <ndxf>
      <font>
        <b val="0"/>
        <sz val="8"/>
        <name val="Consolas"/>
        <family val="3"/>
      </font>
    </ndxf>
  </rcc>
  <rcc rId="3724" sId="7" odxf="1" dxf="1">
    <oc r="G34">
      <f>6057.27*(1+CALC!$A$2)</f>
    </oc>
    <nc r="G34">
      <f>CALC!$A$22*(I34/CEM!I$146)</f>
    </nc>
    <odxf>
      <font>
        <b/>
        <sz val="8"/>
        <name val="Consolas"/>
        <family val="3"/>
      </font>
    </odxf>
    <ndxf>
      <font>
        <b val="0"/>
        <sz val="8"/>
        <name val="Consolas"/>
        <family val="3"/>
      </font>
    </ndxf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5" sId="7" odxf="1" dxf="1">
    <oc r="G29">
      <f>6057.27*(1+CALC!$A$2)</f>
    </oc>
    <nc r="G29">
      <f>CALC!$A$22*(I29/CEM!I$146)</f>
    </nc>
    <odxf>
      <font>
        <b/>
        <sz val="8"/>
        <name val="Consolas"/>
        <family val="3"/>
      </font>
    </odxf>
    <ndxf>
      <font>
        <b val="0"/>
        <sz val="8"/>
        <name val="Consolas"/>
        <family val="3"/>
      </font>
    </ndxf>
  </rcc>
  <rcc rId="3726" sId="7">
    <oc r="G22">
      <f>5482*(1+CALC!$A$2)</f>
    </oc>
    <nc r="G22">
      <f>CALC!$A$22*(I22/CEM!I$146)</f>
    </nc>
  </rcc>
  <rcc rId="3727" sId="7">
    <oc r="G23">
      <f>5482*(1+CALC!$A$2)</f>
    </oc>
    <nc r="G23">
      <f>CALC!$A$22*(I23/CEM!I$146)</f>
    </nc>
  </rcc>
  <rcc rId="3728" sId="7">
    <oc r="G24">
      <f>5482*(1+CALC!$A$2)</f>
    </oc>
    <nc r="G24">
      <f>CALC!$A$22*(I24/CEM!I$146)</f>
    </nc>
  </rcc>
  <rcc rId="3729" sId="7">
    <oc r="G7">
      <f>5482*(1+CALC!$A$2)</f>
    </oc>
    <nc r="G7">
      <f>CALC!$A$22*(I7/CEM!I$146)</f>
    </nc>
  </rcc>
  <rcc rId="3730" sId="7">
    <oc r="G8">
      <f>5482*(1+CALC!$A$2)</f>
    </oc>
    <nc r="G8">
      <f>CALC!$A$22*(I8/CEM!I$146)</f>
    </nc>
  </rcc>
  <rcc rId="3731" sId="7">
    <oc r="G9">
      <f>5482*(1+CALC!$A$2)</f>
    </oc>
    <nc r="G9">
      <f>CALC!$A$22*(I9/CEM!I$146)</f>
    </nc>
  </rcc>
  <rcc rId="3732" sId="7">
    <oc r="G10">
      <f>5482*(1+CALC!$A$2)</f>
    </oc>
    <nc r="G10">
      <f>CALC!$A$22*(I10/CEM!I$146)</f>
    </nc>
  </rcc>
  <rcc rId="3733" sId="7">
    <oc r="G11">
      <f>5482*(1+CALC!$A$2)</f>
    </oc>
    <nc r="G11">
      <f>CALC!$A$22*(I11/CEM!I$146)</f>
    </nc>
  </rcc>
  <rcc rId="3734" sId="7">
    <oc r="G12">
      <f>5482*(1+CALC!$A$2)</f>
    </oc>
    <nc r="G12">
      <f>CALC!$A$22*(I12/CEM!I$146)</f>
    </nc>
  </rcc>
  <rcc rId="3735" sId="7">
    <oc r="G13">
      <f>5482*(1+CALC!$A$2)</f>
    </oc>
    <nc r="G13">
      <f>CALC!$A$22*(I13/CEM!I$146)</f>
    </nc>
  </rcc>
  <rcc rId="3736" sId="7">
    <oc r="G14">
      <f>5482*(1+CALC!$A$2)</f>
    </oc>
    <nc r="G14">
      <f>CALC!$A$22*(I14/CEM!I$146)</f>
    </nc>
  </rcc>
  <rcc rId="3737" sId="7">
    <oc r="G15">
      <f>5482*(1+CALC!$A$2)</f>
    </oc>
    <nc r="G15">
      <f>CALC!$A$22*(I15/CEM!I$146)</f>
    </nc>
  </rcc>
  <rcc rId="3738" sId="7">
    <oc r="G16">
      <f>5482*(1+CALC!$A$2)</f>
    </oc>
    <nc r="G16">
      <f>CALC!$A$22*(I16/CEM!I$146)</f>
    </nc>
  </rcc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9" sId="3">
    <oc r="G8">
      <f>5500*(1+CALC!$A$2)</f>
    </oc>
    <nc r="G8">
      <f>CALC!$A$22*(I8/CEM!I$146)</f>
    </nc>
  </rcc>
  <rcc rId="3740" sId="3">
    <oc r="G9">
      <f>5500*(1+CALC!$A$2)</f>
    </oc>
    <nc r="G9">
      <f>CALC!$A$22*(I9/CEM!I$146)</f>
    </nc>
  </rcc>
  <rcc rId="3741" sId="3">
    <oc r="G10">
      <f>5500*(1+CALC!$A$2)</f>
    </oc>
    <nc r="G10">
      <f>CALC!$A$22*(I10/CEM!I$146)</f>
    </nc>
  </rcc>
  <rcc rId="3742" sId="3">
    <oc r="G15">
      <f>5500*(1+CALC!$A$2)</f>
    </oc>
    <nc r="G15">
      <f>CALC!$A$22*(I15/CEM!I$146)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21:C21">
    <dxf>
      <fill>
        <patternFill patternType="solid">
          <bgColor rgb="FFFFFF00"/>
        </patternFill>
      </fill>
    </dxf>
  </rfmt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3" sId="9">
    <oc r="A22">
      <v>622500</v>
    </oc>
    <nc r="A22">
      <f>622500*1.06</f>
    </nc>
  </rcc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4" sId="6" odxf="1" dxf="1">
    <nc r="G118">
      <f>CALC!$A$22*(CEM!I118/CEM!I$146)</f>
    </nc>
    <odxf/>
    <ndxf/>
  </rcc>
  <rcc rId="3745" sId="6" odxf="1" dxf="1">
    <oc r="G119">
      <f>800*(1+CALC!$A$2)</f>
    </oc>
    <nc r="G119">
      <f>CALC!$A$22*(CEM!I119/CEM!I$146)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46" sId="6" odxf="1" dxf="1">
    <oc r="G120">
      <f>800*(1+CALC!$A$2)</f>
    </oc>
    <nc r="G120">
      <f>CALC!$A$22*(CEM!I120/CEM!I$146)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47" sId="6" odxf="1" dxf="1">
    <oc r="G121">
      <f>800*(1+CALC!$A$2)</f>
    </oc>
    <nc r="G121">
      <f>CALC!$A$22*(CEM!I121/CEM!I$146)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3748" sId="6" odxf="1" dxf="1">
    <oc r="G128">
      <f>800*(1+CALC!$A$2)</f>
    </oc>
    <nc r="G128">
      <f>CALC!$A$22*(CEM!I128/CEM!I$146)</f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9" sId="4">
    <nc r="A58" t="inlineStr">
      <is>
        <t>FRK 231 L</t>
      </is>
    </nc>
  </rcc>
  <rcc rId="3750" sId="4">
    <nc r="B58" t="inlineStr">
      <is>
        <t>Test Station Trailer</t>
      </is>
    </nc>
  </rcc>
  <rcc rId="3751" sId="4">
    <nc r="K58">
      <f>8358*1.06</f>
    </nc>
  </rcc>
  <rfmt sheetId="4" sqref="K58">
    <dxf>
      <fill>
        <patternFill patternType="solid">
          <bgColor rgb="FF7030A0"/>
        </patternFill>
      </fill>
    </dxf>
  </rfmt>
  <rcc rId="3752" sId="4" numFmtId="34">
    <nc r="H58">
      <v>25000</v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  <oldFormula>'COMMUNITY SERV'!$P:$P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8" sId="4" numFmtId="4">
    <oc r="D73">
      <v>40000</v>
    </oc>
    <nc r="D73">
      <v>2000</v>
    </nc>
  </rcc>
  <rcc rId="3779" sId="4" numFmtId="34">
    <oc r="H73">
      <v>60000</v>
    </oc>
    <nc r="H73">
      <v>30000</v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0" sId="4">
    <nc r="A73" t="inlineStr">
      <is>
        <t>UD Truck horse</t>
      </is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781" sId="4" ref="A92:XFD92" action="insertRow">
    <undo index="65535" exp="area" ref3D="1" dr="$P$1:$P$1048576" dn="Z_DF69299D_7752_4436_A45D_28F739CEE21B_.wvu.Cols" sId="4"/>
  </rrc>
  <rfmt sheetId="4" sqref="A92:C92">
    <dxf>
      <fill>
        <patternFill>
          <bgColor theme="0"/>
        </patternFill>
      </fill>
    </dxf>
  </rfmt>
  <rcc rId="3782" sId="4">
    <nc r="A92" t="inlineStr">
      <is>
        <t>Hino 500</t>
      </is>
    </nc>
  </rcc>
  <rcc rId="3783" sId="4">
    <nc r="B92" t="inlineStr">
      <is>
        <t>FRK 226 L</t>
      </is>
    </nc>
  </rcc>
  <rcc rId="3784" sId="4" numFmtId="4">
    <nc r="D92">
      <v>42000</v>
    </nc>
  </rcc>
  <rcc rId="3785" sId="4">
    <nc r="E92">
      <f>+D92/P92*(CALC!$A$4)</f>
    </nc>
  </rcc>
  <rcc rId="3786" sId="4" numFmtId="34">
    <nc r="F92">
      <v>23400</v>
    </nc>
  </rcc>
  <rcc rId="3787" sId="4">
    <nc r="G92">
      <f>CALC!$A$22*(I92/CEM!I$146)</f>
    </nc>
  </rcc>
  <rcc rId="3788" sId="4" numFmtId="34">
    <nc r="I92">
      <v>43548.24</v>
    </nc>
  </rcc>
  <rcc rId="3789" sId="4">
    <nc r="M92">
      <f>SUM(E92:L92)</f>
    </nc>
  </rcc>
  <rcc rId="3790" sId="4">
    <nc r="N92">
      <f>M92/CALC!$A$8*CALC!$A$6</f>
    </nc>
  </rcc>
  <rcc rId="3791" sId="4">
    <nc r="O92">
      <f>+M92+N92</f>
    </nc>
  </rcc>
  <rcc rId="3792" sId="4">
    <oc r="D93">
      <f>SUM(D89:D91)</f>
    </oc>
    <nc r="D93">
      <f>SUM(D89:D92)</f>
    </nc>
  </rcc>
  <rcc rId="3793" sId="4" odxf="1" s="1" dxf="1">
    <oc r="E93">
      <f>SUM(E89:E91)</f>
    </oc>
    <nc r="E93">
      <f>SUM(E89:E92)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794" sId="4" odxf="1" s="1" dxf="1">
    <oc r="F93">
      <f>SUM(F89:F91)</f>
    </oc>
    <nc r="F93">
      <f>SUM(F89:F92)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795" sId="4" odxf="1" s="1" dxf="1">
    <oc r="G93">
      <f>SUM(G89:G91)</f>
    </oc>
    <nc r="G93">
      <f>SUM(G89:G92)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796" sId="4" odxf="1" s="1" dxf="1">
    <oc r="H93">
      <f>SUM(H89:H91)</f>
    </oc>
    <nc r="H93">
      <f>SUM(H89:H92)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797" sId="4" odxf="1" s="1" dxf="1">
    <oc r="I93">
      <f>SUM(I89:I91)</f>
    </oc>
    <nc r="I93">
      <f>SUM(I89:I92)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798" sId="4" odxf="1" s="1" dxf="1">
    <oc r="J93">
      <f>SUM(J89:J91)</f>
    </oc>
    <nc r="J93">
      <f>SUM(J89:J92)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799" sId="4" odxf="1" s="1" dxf="1">
    <oc r="K93">
      <f>SUM(K89:K91)</f>
    </oc>
    <nc r="K93">
      <f>SUM(K89:K92)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800" sId="4" odxf="1" s="1" dxf="1">
    <oc r="L93">
      <f>+L89+L90+L91</f>
    </oc>
    <nc r="L93">
      <f>SUM(L89:L92)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801" sId="4" odxf="1" s="1" dxf="1">
    <oc r="M93">
      <f>SUM(M89:M91)</f>
    </oc>
    <nc r="M93">
      <f>SUM(M89:M92)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802" sId="4" odxf="1" s="1" dxf="1">
    <oc r="N93">
      <f>SUM(N89:N91)</f>
    </oc>
    <nc r="N93">
      <f>SUM(N89:N92)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803" sId="4" odxf="1" s="1" dxf="1">
    <oc r="O93">
      <f>SUM(O89:O91)</f>
    </oc>
    <nc r="O93">
      <f>SUM(O89:O92)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7" formatCode="#,##0;[Red]#,##0"/>
      <alignment horizontal="center"/>
    </ndxf>
  </rcc>
  <rcc rId="3804" sId="4" numFmtId="34">
    <nc r="P92">
      <v>2</v>
    </nc>
  </rcc>
  <rcc rId="3805" sId="4" numFmtId="34">
    <nc r="H92">
      <v>35000</v>
    </nc>
  </rcc>
  <rcc rId="3806" sId="4">
    <nc r="K92">
      <f>3324*1.06</f>
    </nc>
  </rcc>
  <rdn rId="0" localSheetId="4" customView="1" name="Z_DF69299D_7752_4436_A45D_28F739CEE21B_.wvu.Cols" hidden="1" oldHidden="1">
    <oldFormula>'COMMUNITY SERV'!$P:$P</oldFormula>
  </rdn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SERV'!$A$1:$Q$103</formula>
    <oldFormula>'COMMUNITY SERV'!$A$1:$Q$103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2" sId="11">
    <oc r="R25" t="inlineStr">
      <is>
        <t>CMB 481 L</t>
      </is>
    </oc>
    <nc r="R25" t="inlineStr">
      <is>
        <t xml:space="preserve">    </t>
      </is>
    </nc>
  </rcc>
  <rcc rId="3833" sId="1" numFmtId="34">
    <oc r="K34">
      <v>1000</v>
    </oc>
    <nc r="K34">
      <f>1110*1.06</f>
    </nc>
  </rcc>
  <rfmt sheetId="1" sqref="K34">
    <dxf>
      <fill>
        <patternFill>
          <bgColor rgb="FF7030A0"/>
        </patternFill>
      </fill>
    </dxf>
  </rfmt>
  <rcc rId="3834" sId="1">
    <oc r="K28">
      <f>1000*(1.05+CALC!$A$2)</f>
    </oc>
    <nc r="K28">
      <f>1110*1.06</f>
    </nc>
  </rcc>
  <rfmt sheetId="1" sqref="K28">
    <dxf>
      <fill>
        <patternFill>
          <bgColor rgb="FF7030A0"/>
        </patternFill>
      </fill>
    </dxf>
  </rfmt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K45">
    <dxf>
      <fill>
        <patternFill patternType="solid">
          <bgColor rgb="FF7030A0"/>
        </patternFill>
      </fill>
    </dxf>
  </rfmt>
  <rfmt sheetId="5" sqref="K43">
    <dxf>
      <fill>
        <patternFill patternType="solid">
          <bgColor rgb="FF7030A0"/>
        </patternFill>
      </fill>
    </dxf>
  </rfmt>
  <rfmt sheetId="5" sqref="K46">
    <dxf>
      <fill>
        <patternFill patternType="solid">
          <bgColor rgb="FF7030A0"/>
        </patternFill>
      </fill>
    </dxf>
  </rfmt>
  <rfmt sheetId="5" sqref="K42">
    <dxf>
      <fill>
        <patternFill patternType="solid">
          <bgColor rgb="FF7030A0"/>
        </patternFill>
      </fill>
    </dxf>
  </rfmt>
  <rfmt sheetId="5" sqref="K35">
    <dxf>
      <fill>
        <patternFill patternType="solid">
          <bgColor rgb="FF7030A0"/>
        </patternFill>
      </fill>
    </dxf>
  </rfmt>
  <rfmt sheetId="5" sqref="K33">
    <dxf>
      <fill>
        <patternFill patternType="solid">
          <bgColor rgb="FF7030A0"/>
        </patternFill>
      </fill>
    </dxf>
  </rfmt>
  <rfmt sheetId="5" sqref="K34">
    <dxf>
      <fill>
        <patternFill patternType="solid">
          <bgColor rgb="FF7030A0"/>
        </patternFill>
      </fill>
    </dxf>
  </rfmt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5" sId="5" odxf="1" dxf="1">
    <oc r="A41" t="inlineStr">
      <is>
        <t>r</t>
      </is>
    </oc>
    <nc r="A41" t="inlineStr">
      <is>
        <t>NISSAN   NP 300 4X4 [173]</t>
      </is>
    </nc>
    <odxf>
      <fill>
        <patternFill>
          <bgColor rgb="FFFFC000"/>
        </patternFill>
      </fill>
      <alignment horizontal="left" vertical="top"/>
    </odxf>
    <ndxf>
      <fill>
        <patternFill>
          <bgColor rgb="FF92D050"/>
        </patternFill>
      </fill>
      <alignment horizontal="general" vertical="bottom"/>
    </ndxf>
  </rcc>
  <rfmt sheetId="5" sqref="K36">
    <dxf>
      <fill>
        <patternFill patternType="solid">
          <bgColor rgb="FF7030A0"/>
        </patternFill>
      </fill>
    </dxf>
  </rfmt>
  <rcc rId="3836" sId="5">
    <oc r="B41">
      <f>+'1-10'!R41</f>
    </oc>
    <nc r="B41"/>
  </rcc>
  <rfmt sheetId="5" sqref="A36:B36" start="0" length="2147483647">
    <dxf>
      <font>
        <color rgb="FF00B0F0"/>
      </font>
    </dxf>
  </rfmt>
  <rfmt sheetId="5" sqref="E37" start="0" length="2147483647">
    <dxf>
      <font>
        <color auto="1"/>
      </font>
    </dxf>
  </rfmt>
  <rfmt sheetId="5" sqref="A36:B36" start="0" length="2147483647">
    <dxf>
      <font>
        <color auto="1"/>
      </font>
    </dxf>
  </rfmt>
  <rfmt sheetId="5" sqref="A36:B36">
    <dxf>
      <fill>
        <patternFill>
          <bgColor rgb="FF0070C0"/>
        </patternFill>
      </fill>
    </dxf>
  </rfmt>
  <rfmt sheetId="4" sqref="A92:B92">
    <dxf>
      <fill>
        <patternFill>
          <bgColor rgb="FF0070C0"/>
        </patternFill>
      </fill>
    </dxf>
  </rfmt>
  <rfmt sheetId="4" sqref="A73:B73">
    <dxf>
      <fill>
        <patternFill patternType="solid">
          <bgColor rgb="FF0070C0"/>
        </patternFill>
      </fill>
    </dxf>
  </rfmt>
  <rfmt sheetId="4" sqref="A58:B58">
    <dxf>
      <fill>
        <patternFill patternType="solid">
          <bgColor rgb="FF0070C0"/>
        </patternFill>
      </fill>
    </dxf>
  </rfmt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37" sId="7" ref="A86:XFD91" action="insertRow">
    <undo index="65535" exp="area" ref3D="1" dr="$P$1:$P$1048576" dn="Z_6C0BD6A7_6718_429D_82D9_D2FE0341EA2C_.wvu.Cols" sId="7"/>
    <undo index="1" exp="area" ref3D="1" dr="$J$1:$J$1048576" dn="Z_6C0BD6A7_6718_429D_82D9_D2FE0341EA2C_.wvu.Cols" sId="7"/>
    <undo index="65535" exp="area" ref3D="1" dr="$P$1:$P$1048576" dn="Z_594C4AB0_8D5F_4373_9663_410F4413FE3A_.wvu.Cols" sId="7"/>
    <undo index="1" exp="area" ref3D="1" dr="$J$1:$J$1048576" dn="Z_594C4AB0_8D5F_4373_9663_410F4413FE3A_.wvu.Cols" sId="7"/>
    <undo index="65535" exp="area" ref3D="1" dr="$P$1:$P$1048576" dn="Z_DF69299D_7752_4436_A45D_28F739CEE21B_.wvu.Cols" sId="7"/>
    <undo index="1" exp="area" ref3D="1" dr="$J$1:$J$1048576" dn="Z_DF69299D_7752_4436_A45D_28F739CEE21B_.wvu.Cols" sId="7"/>
  </rrc>
  <rcc rId="3838" sId="7" odxf="1" dxf="1">
    <nc r="A87" t="inlineStr">
      <is>
        <t>TAR/CODE</t>
      </is>
    </nc>
    <odxf>
      <font>
        <u val="none"/>
        <sz val="8"/>
        <name val="Consolas"/>
        <family val="3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u/>
        <sz val="8"/>
        <name val="Consolas"/>
        <family val="3"/>
      </font>
      <fill>
        <patternFill patternType="solid">
          <bgColor theme="8" tint="0.79998168889431442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fmt sheetId="7" sqref="B87" start="0" length="0">
    <dxf>
      <font>
        <u/>
        <sz val="8"/>
        <name val="Consolas"/>
        <family val="3"/>
      </font>
      <fill>
        <patternFill patternType="solid">
          <bgColor theme="8" tint="0.79998168889431442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7" sqref="C87" start="0" length="0">
    <dxf>
      <font>
        <b val="0"/>
        <sz val="8"/>
        <name val="Consolas"/>
        <family val="3"/>
      </font>
    </dxf>
  </rfmt>
  <rfmt sheetId="7" sqref="D87" start="0" length="0">
    <dxf>
      <numFmt numFmtId="165" formatCode="0_);\(0\)"/>
      <fill>
        <patternFill patternType="solid">
          <bgColor theme="8" tint="0.79998168889431442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</rfmt>
  <rfmt sheetId="7" s="1" sqref="E87" start="0" length="0">
    <dxf>
      <numFmt numFmtId="165" formatCode="0_);\(0\)"/>
      <fill>
        <patternFill patternType="solid">
          <bgColor theme="8" tint="0.79998168889431442"/>
        </patternFill>
      </fill>
      <alignment horizontal="center"/>
      <border outline="0">
        <top style="medium">
          <color indexed="64"/>
        </top>
        <bottom style="medium">
          <color indexed="64"/>
        </bottom>
      </border>
    </dxf>
  </rfmt>
  <rfmt sheetId="7" s="1" sqref="F87" start="0" length="0">
    <dxf>
      <numFmt numFmtId="165" formatCode="0_);\(0\)"/>
      <fill>
        <patternFill patternType="solid">
          <bgColor theme="8" tint="0.79998168889431442"/>
        </patternFill>
      </fill>
      <alignment horizontal="center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39" sId="7">
    <nc r="B87" t="inlineStr">
      <is>
        <t>V0200</t>
      </is>
    </nc>
  </rcc>
  <rcc rId="3840" sId="7">
    <nc r="D87" t="inlineStr">
      <is>
        <t>Generators</t>
      </is>
    </nc>
  </rcc>
  <rcc rId="3841" sId="7">
    <nc r="A88" t="inlineStr">
      <is>
        <t>Goerges Val Purification work</t>
      </is>
    </nc>
  </rcc>
  <rcc rId="3842" sId="7">
    <nc r="A89" t="inlineStr">
      <is>
        <t xml:space="preserve">Tzaneen Purification </t>
      </is>
    </nc>
  </rcc>
  <rcc rId="3843" sId="7">
    <nc r="A90" t="inlineStr">
      <is>
        <t>Saagmeul</t>
      </is>
    </nc>
  </rcc>
  <rcc rId="3844" sId="7">
    <nc r="A91" t="inlineStr">
      <is>
        <t>Letstele</t>
      </is>
    </nc>
  </rcc>
  <rcc rId="3845" sId="7">
    <nc r="A92" t="inlineStr">
      <is>
        <t>TZN sewerplant</t>
      </is>
    </nc>
  </rcc>
  <rrc rId="3846" sId="7" ref="A93:XFD95" action="insertRow">
    <undo index="65535" exp="area" ref3D="1" dr="$P$1:$P$1048576" dn="Z_6C0BD6A7_6718_429D_82D9_D2FE0341EA2C_.wvu.Cols" sId="7"/>
    <undo index="1" exp="area" ref3D="1" dr="$J$1:$J$1048576" dn="Z_6C0BD6A7_6718_429D_82D9_D2FE0341EA2C_.wvu.Cols" sId="7"/>
    <undo index="65535" exp="area" ref3D="1" dr="$P$1:$P$1048576" dn="Z_594C4AB0_8D5F_4373_9663_410F4413FE3A_.wvu.Cols" sId="7"/>
    <undo index="1" exp="area" ref3D="1" dr="$J$1:$J$1048576" dn="Z_594C4AB0_8D5F_4373_9663_410F4413FE3A_.wvu.Cols" sId="7"/>
    <undo index="65535" exp="area" ref3D="1" dr="$P$1:$P$1048576" dn="Z_DF69299D_7752_4436_A45D_28F739CEE21B_.wvu.Cols" sId="7"/>
    <undo index="1" exp="area" ref3D="1" dr="$J$1:$J$1048576" dn="Z_DF69299D_7752_4436_A45D_28F739CEE21B_.wvu.Cols" sId="7"/>
  </rrc>
  <rcc rId="3847" sId="7">
    <oc r="L13" t="inlineStr">
      <is>
        <t>Roads</t>
      </is>
    </oc>
    <nc r="L13"/>
  </rcc>
  <rcc rId="3848" sId="7" odxf="1" dxf="1">
    <nc r="B93" t="inlineStr">
      <is>
        <t>TOTAL</t>
      </is>
    </nc>
    <odxf>
      <font>
        <b val="0"/>
        <sz val="8"/>
        <name val="Consolas"/>
        <family val="3"/>
      </font>
      <border outline="0">
        <left/>
        <right/>
        <top/>
        <bottom/>
      </border>
    </odxf>
    <ndxf>
      <font>
        <b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qref="C93" start="0" length="0">
    <dxf>
      <font>
        <b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D93" start="0" length="0">
    <dxf>
      <font>
        <b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49" sId="7" odxf="1" s="1" dxf="1">
    <nc r="E93">
      <f>SUM(E91:E92)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50" sId="7" odxf="1" s="1" dxf="1">
    <nc r="F93">
      <f>SUM(F91:F92)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="1" sqref="G93" start="0" length="0">
    <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H93" start="0" length="0">
    <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I93" start="0" length="0">
    <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J93" start="0" length="0">
    <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K93" start="0" length="0">
    <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L93" start="0" length="0">
    <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M93" start="0" length="0">
    <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N93" start="0" length="0">
    <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O93" start="0" length="0">
    <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P93" start="0" length="0">
    <dxf>
      <font>
        <b/>
        <sz val="8"/>
        <name val="Consolas"/>
        <family val="3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851" sId="7" odxf="1" dxf="1">
    <nc r="Q93">
      <f>(+O93/D93)*(1+CALC!$A$3)</f>
    </nc>
    <odxf>
      <font>
        <b val="0"/>
        <sz val="8"/>
        <name val="Consolas"/>
        <family val="3"/>
      </font>
      <fill>
        <patternFill patternType="none">
          <bgColor indexed="65"/>
        </patternFill>
      </fill>
    </odxf>
    <ndxf>
      <font>
        <b/>
        <sz val="8"/>
        <name val="Consolas"/>
        <family val="3"/>
      </font>
      <fill>
        <patternFill patternType="solid">
          <bgColor theme="6" tint="0.79998168889431442"/>
        </patternFill>
      </fill>
    </ndxf>
  </rcc>
  <rcc rId="3852" sId="7">
    <nc r="G93">
      <f>SUM(G86:G92)</f>
    </nc>
  </rcc>
  <rcc rId="3853" sId="7">
    <nc r="H93">
      <f>SUM(H86:H92)</f>
    </nc>
  </rcc>
  <rcc rId="3854" sId="7">
    <nc r="I93">
      <f>SUM(I86:I92)</f>
    </nc>
  </rcc>
  <rcc rId="3855" sId="7">
    <nc r="J93">
      <f>SUM(J86:J92)</f>
    </nc>
  </rcc>
  <rcc rId="3856" sId="7">
    <nc r="K93">
      <f>SUM(K86:K92)</f>
    </nc>
  </rcc>
  <rcc rId="3857" sId="7">
    <nc r="L93">
      <f>SUM(L86:L92)</f>
    </nc>
  </rcc>
  <rcc rId="3858" sId="7">
    <nc r="M93">
      <f>SUM(M86:M92)</f>
    </nc>
  </rcc>
  <rcc rId="3859" sId="7">
    <nc r="N93">
      <f>SUM(N86:N92)</f>
    </nc>
  </rcc>
  <rcc rId="3860" sId="7">
    <nc r="O93">
      <f>SUM(O86:O92)</f>
    </nc>
  </rcc>
  <rcc rId="3861" sId="7" odxf="1" dxf="1">
    <nc r="P93">
      <f>SUM(P86:P92)</f>
    </nc>
    <ndxf>
      <border outline="0">
        <right style="thin">
          <color indexed="64"/>
        </right>
      </border>
    </ndxf>
  </rcc>
  <rcc rId="3862" sId="7" odxf="1" dxf="1">
    <nc r="G88">
      <f>CALC!$A$22*(I88/CEM!I$146)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63" sId="7" odxf="1" dxf="1">
    <nc r="G89">
      <f>CALC!$A$22*(I89/CEM!I$146)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64" sId="7" odxf="1" dxf="1">
    <nc r="G90">
      <f>CALC!$A$22*(I90/CEM!I$146)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65" sId="7" odxf="1" dxf="1">
    <nc r="G91">
      <f>CALC!$A$22*(I91/CEM!I$146)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66" sId="7" odxf="1" s="1" dxf="1">
    <nc r="G92">
      <f>CALC!$A$22*(I92/CEM!I$146)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qref="E88" start="0" length="0">
    <dxf>
      <font>
        <b val="0"/>
        <sz val="8"/>
        <name val="Consolas"/>
        <family val="3"/>
      </font>
      <fill>
        <patternFill patternType="solid">
          <bgColor rgb="FF00B0F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E89" start="0" length="0">
    <dxf>
      <font>
        <b val="0"/>
        <sz val="8"/>
        <name val="Consolas"/>
        <family val="3"/>
      </font>
      <fill>
        <patternFill patternType="solid">
          <bgColor rgb="FF00B0F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E90" start="0" length="0">
    <dxf>
      <font>
        <b val="0"/>
        <sz val="8"/>
        <name val="Consolas"/>
        <family val="3"/>
      </font>
      <fill>
        <patternFill patternType="solid">
          <bgColor rgb="FF00B0F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E91" start="0" length="0">
    <dxf>
      <font>
        <b val="0"/>
        <sz val="8"/>
        <name val="Consolas"/>
        <family val="3"/>
      </font>
      <fill>
        <patternFill patternType="solid">
          <bgColor rgb="FF00B0F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E92" start="0" length="0">
    <dxf>
      <numFmt numFmtId="35" formatCode="_(* #,##0.00_);_(* \(#,##0.00\);_(* &quot;-&quot;??_);_(@_)"/>
      <fill>
        <patternFill patternType="solid">
          <bgColor rgb="FF00B0F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D92" start="0" length="0">
    <dxf>
      <font>
        <b/>
        <sz val="8"/>
        <name val="Consolas"/>
        <family val="3"/>
      </font>
    </dxf>
  </rfmt>
  <rcc rId="3867" sId="7">
    <nc r="D93">
      <f>SUM(D88:D92)</f>
    </nc>
  </rcc>
  <rcc rId="3868" sId="7">
    <nc r="E88">
      <f>+D88*P88*(CALC!$A$4)</f>
    </nc>
  </rcc>
  <rcc rId="3869" sId="7">
    <nc r="E89">
      <f>+D89*P89*(CALC!$A$4)</f>
    </nc>
  </rcc>
  <rcc rId="3870" sId="7">
    <nc r="E90">
      <f>+D90*P90*(CALC!$A$4)</f>
    </nc>
  </rcc>
  <rcc rId="3871" sId="7">
    <nc r="E91">
      <f>+D91*P91*(CALC!$A$4)</f>
    </nc>
  </rcc>
  <rcc rId="3872" sId="7">
    <nc r="E92">
      <f>+D92*P92*(CALC!$A$4)</f>
    </nc>
  </rcc>
  <rcc rId="3873" sId="7" numFmtId="34">
    <nc r="P88">
      <v>80</v>
    </nc>
  </rcc>
  <rcc rId="3874" sId="7" numFmtId="34">
    <nc r="P89">
      <v>80</v>
    </nc>
  </rcc>
  <rcc rId="3875" sId="7" numFmtId="34">
    <nc r="P90">
      <v>80</v>
    </nc>
  </rcc>
  <rcc rId="3876" sId="7" numFmtId="34">
    <nc r="P91">
      <v>80</v>
    </nc>
  </rcc>
  <rcc rId="3877" sId="7" odxf="1" dxf="1" numFmtId="34">
    <nc r="P92">
      <v>80</v>
    </nc>
    <odxf>
      <font>
        <b val="0"/>
        <sz val="8"/>
        <name val="Consolas"/>
        <family val="3"/>
      </font>
    </odxf>
    <ndxf>
      <font>
        <b/>
        <sz val="8"/>
        <name val="Consolas"/>
        <family val="3"/>
      </font>
    </ndxf>
  </rcc>
  <rcc rId="3878" sId="7" numFmtId="4">
    <nc r="D88">
      <v>2400</v>
    </nc>
  </rcc>
  <rcc rId="3879" sId="7" numFmtId="4">
    <nc r="D89">
      <v>2400</v>
    </nc>
  </rcc>
  <rcc rId="3880" sId="7" numFmtId="4">
    <nc r="D90">
      <v>2400</v>
    </nc>
  </rcc>
  <rcc rId="3881" sId="7" numFmtId="4">
    <nc r="D91">
      <v>2400</v>
    </nc>
  </rcc>
  <rcc rId="3882" sId="7" numFmtId="4">
    <nc r="D92">
      <v>2400</v>
    </nc>
  </rcc>
  <rcc rId="3883" sId="7" numFmtId="34">
    <nc r="H88">
      <v>30000</v>
    </nc>
  </rcc>
  <rcc rId="3884" sId="7" numFmtId="34">
    <nc r="H89">
      <v>30000</v>
    </nc>
  </rcc>
  <rcc rId="3885" sId="7" numFmtId="34">
    <nc r="H90">
      <v>30000</v>
    </nc>
  </rcc>
  <rcc rId="3886" sId="7" numFmtId="34">
    <nc r="H91">
      <v>30000</v>
    </nc>
  </rcc>
  <rcc rId="3887" sId="7" odxf="1" s="1" dxf="1" numFmtId="34">
    <nc r="H92">
      <v>30000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</ndxf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27:C27">
    <dxf>
      <fill>
        <patternFill patternType="solid">
          <bgColor rgb="FFFFFF00"/>
        </patternFill>
      </fill>
    </dxf>
  </rfmt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8" sId="7">
    <oc r="D97">
      <f>+D7+D8+D11+D14+D15+D16+D25+D30+D35+D45+D52+D64+D85</f>
    </oc>
    <nc r="D97">
      <f>+D7+D8+D11+D14+D15+D16+D25+D30+D35+D45+D52+D64+D85+D93</f>
    </nc>
  </rcc>
  <rcc rId="3889" sId="7" odxf="1" s="1" dxf="1">
    <oc r="E97">
      <f>+E7+E8+E11+E14+E15+E16+E25+E30+E35+E45+E52+E64+E85</f>
    </oc>
    <nc r="E97">
      <f>+E7+E8+E11+E14+E15+E16+E25+E30+E35+E45+E52+E64+E85+E93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0" sId="7" odxf="1" s="1" dxf="1">
    <oc r="F97">
      <f>+F7+F8+F11+F14+F15+F16+F25+F30+F35+F45+F52+F64+F85</f>
    </oc>
    <nc r="F97">
      <f>+F7+F8+F11+F14+F15+F16+F25+F30+F35+F45+F52+F64+F85+F93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1" sId="7" odxf="1" s="1" dxf="1">
    <oc r="G97">
      <f>+G7+G8+G11+G14+G15+G16+G25+G30+G35+G45+G52+G64+G85</f>
    </oc>
    <nc r="G97">
      <f>+G7+G8+G11+G14+G15+G16+G25+G30+G35+G45+G52+G64+G85+G93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2" sId="7" odxf="1" s="1" dxf="1">
    <oc r="H97">
      <f>+H7+H8+H11+H14+H15+H16+H25+H30+H35+H45+H52+H64+H85</f>
    </oc>
    <nc r="H97">
      <f>+H7+H8+H11+H14+H15+H16+H25+H30+H35+H45+H52+H64+H85+H93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3" sId="7" odxf="1" s="1" dxf="1">
    <oc r="I97">
      <f>+I7+I8+I11+I14+I15+I16+I25+I30+I35+I45+I52+I64+I85</f>
    </oc>
    <nc r="I97">
      <f>+I7+I8+I11+I14+I15+I16+I25+I30+I35+I45+I52+I64+I85+I93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4" sId="7" odxf="1" s="1" dxf="1">
    <oc r="J97">
      <f>+J7+J8+J11+J14+J15+J16+J25+J30+J35+J45+J52+J64+J85</f>
    </oc>
    <nc r="J97">
      <f>+J7+J8+J11+J14+J15+J16+J25+J30+J35+J45+J52+J64+J85+J93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5" sId="7" odxf="1" s="1" dxf="1">
    <oc r="K97">
      <f>+K7+K8+K11+K14+K15+K16+K25+K30+K35+K45+K52+K64+K85</f>
    </oc>
    <nc r="K97">
      <f>+K7+K8+K11+K14+K15+K16+K25+K30+K35+K45+K52+K64+K85+K93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6" sId="7" odxf="1" s="1" dxf="1">
    <oc r="L97">
      <f>+L7+L8+L11+L14+L15+L16+L25+L30+L35+L45+L52+L64+L85</f>
    </oc>
    <nc r="L97">
      <f>+L7+L8+L11+L14+L15+L16+L25+L30+L35+L45+L52+L64+L85+L93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7" sId="7" odxf="1" s="1" dxf="1">
    <oc r="M97">
      <f>+M7+M8+M11+M14+M15+M16+M25+M30+M35+M45+M52+M64+M85</f>
    </oc>
    <nc r="M97">
      <f>+M7+M8+M11+M14+M15+M16+M25+M30+M35+M45+M52+M64+M85+M93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8" sId="7" odxf="1" s="1" dxf="1">
    <oc r="N97">
      <f>+N7+N8+N11+N14+N15+N16+N25+N30+N35+N45+N52+N64+N85</f>
    </oc>
    <nc r="N97">
      <f>+N7+N8+N11+N14+N15+N16+N25+N30+N35+N45+N52+N64+N85+N93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  <rcc rId="3899" sId="7" odxf="1" s="1" dxf="1">
    <oc r="O97">
      <f>+O7+O8+O11+O14+O15+O16+O25+O30+O35+O45+O52+O64+O85</f>
    </oc>
    <nc r="O97">
      <f>+O7+O8+O11+O14+O15+O16+O25+O30+O35+O45+O52+O64+O85+O93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35" formatCode="_(* #,##0.00_);_(* \(#,##0.00\);_(* &quot;-&quot;??_);_(@_)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167" formatCode="#,##0;[Red]#,##0"/>
    </ndxf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0" sId="7" odxf="1" dxf="1">
    <nc r="M88">
      <f>SUM(E88:L88)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1" sId="7" odxf="1" dxf="1">
    <nc r="M89">
      <f>SUM(E89:L89)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2" sId="7" odxf="1" dxf="1">
    <nc r="M90">
      <f>SUM(E90:L90)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3" sId="7" odxf="1" dxf="1">
    <nc r="M91">
      <f>SUM(E91:L91)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4" sId="7" odxf="1" s="1" dxf="1">
    <nc r="M92">
      <f>SUM(E92:L92)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numFmt numFmtId="35" formatCode="_(* #,##0.00_);_(* \(#,##0.00\);_(* &quot;-&quot;??_);_(@_)"/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5" sId="7" odxf="1" dxf="1">
    <nc r="O88">
      <f>+M88+N88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6" sId="7" odxf="1" dxf="1">
    <nc r="O89">
      <f>+M89+N89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7" sId="7" odxf="1" dxf="1">
    <nc r="O90">
      <f>+M90+N90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8" sId="7" odxf="1" dxf="1">
    <nc r="O91">
      <f>+M91+N91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9" sId="7" odxf="1" s="1" dxf="1">
    <nc r="O92">
      <f>+M92+N92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numFmt numFmtId="35" formatCode="_(* #,##0.00_);_(* \(#,##0.00\);_(* &quot;-&quot;??_);_(@_)"/>
      <fill>
        <patternFill patternType="solid">
          <bgColor theme="6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10" sId="7">
    <oc r="E93">
      <f>SUM(E91:E92)</f>
    </oc>
    <nc r="E93">
      <f>SUM(E87:E92)</f>
    </nc>
  </rcc>
  <rcc rId="3911" sId="7" numFmtId="4">
    <oc r="D88">
      <v>2400</v>
    </oc>
    <nc r="D88">
      <v>2000</v>
    </nc>
  </rcc>
  <rcc rId="3912" sId="7" numFmtId="4">
    <oc r="D89">
      <v>2400</v>
    </oc>
    <nc r="D89">
      <v>2000</v>
    </nc>
  </rcc>
  <rcc rId="3913" sId="7" numFmtId="4">
    <oc r="D90">
      <v>2400</v>
    </oc>
    <nc r="D90">
      <v>2000</v>
    </nc>
  </rcc>
  <rcc rId="3914" sId="7" numFmtId="4">
    <oc r="D91">
      <v>2400</v>
    </oc>
    <nc r="D91">
      <v>2000</v>
    </nc>
  </rcc>
  <rcc rId="3915" sId="7" numFmtId="4">
    <oc r="D92">
      <v>2400</v>
    </oc>
    <nc r="D92">
      <v>2000</v>
    </nc>
  </rcc>
  <rcc rId="3916" sId="7">
    <oc r="M93">
      <f>SUM(M86:M92)</f>
    </oc>
    <nc r="M93">
      <f>SUM(M88:M92)</f>
    </nc>
  </rcc>
  <rcc rId="3917" sId="7">
    <oc r="D102">
      <f>+D18+D25+D30+D35+D40+D45+D52+D58+D64+D79+D85</f>
    </oc>
    <nc r="D102">
      <f>D96</f>
    </nc>
  </rcc>
  <rcc rId="3918" sId="7">
    <oc r="E102">
      <f>+E18+E25+E30+E35+E40+E45+E52+E58+E64+E79+E85</f>
    </oc>
    <nc r="E102">
      <f>E96</f>
    </nc>
  </rcc>
  <rcc rId="3919" sId="7">
    <oc r="F102">
      <f>+F18+F25+F30+F35+F40+F45+F52+F58+F64+F79+F85</f>
    </oc>
    <nc r="F102">
      <f>F96</f>
    </nc>
  </rcc>
  <rcc rId="3920" sId="7">
    <oc r="G102">
      <f>+G18+G25+G30+G35+G40+G45+G52+G58+G64+G79+G85</f>
    </oc>
    <nc r="G102">
      <f>G96</f>
    </nc>
  </rcc>
  <rcc rId="3921" sId="7">
    <oc r="H102">
      <f>+H18+H25+H30+H35+H40+H45+H52+H58+H64+H79+H85</f>
    </oc>
    <nc r="H102">
      <f>H96</f>
    </nc>
  </rcc>
  <rcc rId="3922" sId="7">
    <oc r="I102">
      <f>+I18+I25+I30+I35+I40+I45+I52+I58+I64+I79+I85</f>
    </oc>
    <nc r="I102">
      <f>I96</f>
    </nc>
  </rcc>
  <rcc rId="3923" sId="7">
    <oc r="J102">
      <f>+J18+J25+J30+J35+J40+J45+J52+J58+J64+J79+J85</f>
    </oc>
    <nc r="J102">
      <f>J96</f>
    </nc>
  </rcc>
  <rcc rId="3924" sId="7">
    <oc r="K102">
      <f>+K18+K25+K30+K35+K40+K45+K52+K58+K64+K79+K85</f>
    </oc>
    <nc r="K102">
      <f>K96</f>
    </nc>
  </rcc>
  <rcc rId="3925" sId="7">
    <oc r="L102">
      <f>+L18+L25+L30+L35+L40+L45+L52+L58+L64+L79+L85</f>
    </oc>
    <nc r="L102">
      <f>L96</f>
    </nc>
  </rcc>
  <rcc rId="3926" sId="7">
    <oc r="M102">
      <f>+M18+M25+M30+M35+M40+M45+M52+M58+M64+M79+M85</f>
    </oc>
    <nc r="M102">
      <f>M96</f>
    </nc>
  </rcc>
  <rcc rId="3927" sId="7">
    <oc r="N102">
      <f>+N18+N25+N30+N35+N40+N45+N52+N58+N64+N79+N85</f>
    </oc>
    <nc r="N102">
      <f>N96</f>
    </nc>
  </rcc>
  <rcc rId="3928" sId="7">
    <oc r="O102">
      <f>+O18+O25+O30+O35+O40+O45+O52+O58+O64+O79+O85</f>
    </oc>
    <nc r="O102">
      <f>O96</f>
    </nc>
  </rcc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929" sId="5" ref="A95:XFD104" action="insertRow">
    <undo index="65535" exp="area" ref3D="1" dr="$P$1:$P$1048576" dn="Z_6C0BD6A7_6718_429D_82D9_D2FE0341EA2C_.wvu.Cols" sId="5"/>
    <undo index="65535" exp="area" ref3D="1" dr="$P$1:$P$1048576" dn="Z_594C4AB0_8D5F_4373_9663_410F4413FE3A_.wvu.Cols" sId="5"/>
  </rr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SERV'!$A$1:$Q$103</formula>
    <oldFormula>'COMMUNITY SERV'!$A$1:$Q$103</oldFormula>
  </rdn>
  <rdn rId="0" localSheetId="5" customView="1" name="Z_DF69299D_7752_4436_A45D_28F739CEE21B_.wvu.PrintArea" hidden="1" oldHidden="1">
    <formula>EEM!$A$1:$Q$107</formula>
    <oldFormula>EEM!$A$1:$Q$107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MDC!$A$1:$Q$99</formula>
    <oldFormula>MDC!$A$1:$Q$99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4" sId="5" odxf="1" dxf="1">
    <nc r="A96" t="inlineStr">
      <is>
        <t>TAR/CODE</t>
      </is>
    </nc>
    <odxf>
      <font>
        <u val="none"/>
        <sz val="8"/>
        <name val="Consolas"/>
        <family val="3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u/>
        <sz val="8"/>
        <name val="Consolas"/>
        <family val="3"/>
      </font>
      <fill>
        <patternFill patternType="solid">
          <bgColor theme="8" tint="0.79998168889431442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cc rId="3955" sId="5" odxf="1" dxf="1">
    <nc r="B96" t="inlineStr">
      <is>
        <t>V0172</t>
      </is>
    </nc>
    <odxf>
      <font>
        <u val="none"/>
        <sz val="8"/>
        <name val="Consolas"/>
        <family val="3"/>
      </font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u/>
        <sz val="8"/>
        <name val="Consolas"/>
        <family val="3"/>
      </font>
      <fill>
        <patternFill patternType="solid">
          <bgColor theme="8" tint="0.79998168889431442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5" sqref="C96" start="0" length="0">
    <dxf>
      <font>
        <b val="0"/>
        <sz val="8"/>
        <name val="Consolas"/>
        <family val="3"/>
      </font>
    </dxf>
  </rfmt>
  <rcc rId="3956" sId="5" odxf="1" dxf="1">
    <nc r="D96" t="inlineStr">
      <is>
        <t>5-5 CRANE TRUCK</t>
      </is>
    </nc>
    <odxf>
      <numFmt numFmtId="167" formatCode="#,##0;[Red]#,##0"/>
      <fill>
        <patternFill patternType="none">
          <bgColor indexed="65"/>
        </patternFill>
      </fill>
      <border outline="0">
        <left/>
        <top/>
        <bottom/>
      </border>
    </odxf>
    <ndxf>
      <numFmt numFmtId="165" formatCode="0_);\(0\)"/>
      <fill>
        <patternFill patternType="solid">
          <bgColor theme="8" tint="0.79998168889431442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fmt sheetId="5" s="1" sqref="E96" start="0" length="0">
    <dxf>
      <numFmt numFmtId="165" formatCode="0_);\(0\)"/>
      <fill>
        <patternFill patternType="solid">
          <bgColor theme="8" tint="0.79998168889431442"/>
        </patternFill>
      </fill>
      <alignment horizontal="center"/>
      <border outline="0">
        <top style="medium">
          <color indexed="64"/>
        </top>
        <bottom style="medium">
          <color indexed="64"/>
        </bottom>
      </border>
    </dxf>
  </rfmt>
  <rfmt sheetId="5" s="1" sqref="F96" start="0" length="0">
    <dxf>
      <numFmt numFmtId="165" formatCode="0_);\(0\)"/>
      <fill>
        <patternFill patternType="solid">
          <bgColor theme="8" tint="0.79998168889431442"/>
        </patternFill>
      </fill>
      <alignment horizontal="center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="1" sqref="G96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H96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I96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J96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K96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L96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M96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N96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O96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qref="P96" start="0" length="0">
    <dxf>
      <font>
        <b val="0"/>
        <sz val="8"/>
        <name val="Consolas"/>
        <family val="3"/>
      </font>
    </dxf>
  </rfmt>
  <rfmt sheetId="5" sqref="Q96" start="0" length="0">
    <dxf>
      <font>
        <b val="0"/>
        <sz val="8"/>
        <name val="Consolas"/>
        <family val="3"/>
      </font>
    </dxf>
  </rfmt>
  <rfmt sheetId="5" sqref="A97" start="0" length="0">
    <dxf>
      <font>
        <b val="0"/>
        <sz val="8"/>
        <name val="Consolas"/>
        <family val="3"/>
      </font>
    </dxf>
  </rfmt>
  <rfmt sheetId="5" sqref="B97" start="0" length="0">
    <dxf>
      <font>
        <b val="0"/>
        <sz val="8"/>
        <name val="Consolas"/>
        <family val="3"/>
      </font>
    </dxf>
  </rfmt>
  <rfmt sheetId="5" sqref="C97" start="0" length="0">
    <dxf>
      <font>
        <b val="0"/>
        <sz val="8"/>
        <name val="Consolas"/>
        <family val="3"/>
      </font>
    </dxf>
  </rfmt>
  <rfmt sheetId="5" sqref="D97" start="0" length="0">
    <dxf>
      <font>
        <b val="0"/>
        <sz val="8"/>
        <name val="Consolas"/>
        <family val="3"/>
      </font>
    </dxf>
  </rfmt>
  <rfmt sheetId="5" s="1" sqref="E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F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G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H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I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J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K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L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M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N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O97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qref="P97" start="0" length="0">
    <dxf>
      <font>
        <b val="0"/>
        <sz val="8"/>
        <name val="Consolas"/>
        <family val="3"/>
      </font>
    </dxf>
  </rfmt>
  <rfmt sheetId="5" sqref="Q97" start="0" length="0">
    <dxf>
      <font>
        <b val="0"/>
        <sz val="8"/>
        <name val="Consolas"/>
        <family val="3"/>
      </font>
    </dxf>
  </rfmt>
  <rfmt sheetId="5" sqref="A98" start="0" length="0">
    <dxf>
      <font>
        <b val="0"/>
        <sz val="7"/>
        <name val="Consolas"/>
        <family val="3"/>
      </font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57" sId="5" odxf="1" dxf="1">
    <nc r="B98">
      <f>+'1-10'!R118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b val="0"/>
        <sz val="8"/>
        <name val="Consolas"/>
        <family val="3"/>
      </font>
      <fill>
        <patternFill patternType="solid">
          <bgColor rgb="FFFFFF00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cc rId="3958" sId="5" odxf="1" dxf="1">
    <nc r="C98" t="inlineStr">
      <is>
        <t>699</t>
      </is>
    </nc>
    <odxf>
      <font>
        <b/>
        <sz val="8"/>
        <name val="Consolas"/>
        <family val="3"/>
      </font>
      <numFmt numFmtId="0" formatCode="General"/>
      <fill>
        <patternFill patternType="none">
          <bgColor indexed="65"/>
        </patternFill>
      </fill>
      <alignment horizontal="center" vertical="top"/>
      <border outline="0">
        <left/>
        <right/>
        <top/>
        <bottom/>
      </border>
    </odxf>
    <ndxf>
      <font>
        <b val="0"/>
        <sz val="8"/>
        <color theme="1"/>
        <name val="Consolas"/>
        <family val="3"/>
      </font>
      <numFmt numFmtId="30" formatCode="@"/>
      <fill>
        <patternFill patternType="solid">
          <bgColor rgb="FFFFFF00"/>
        </patternFill>
      </fill>
      <alignment horizontal="general" vertical="bottom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5" sqref="D98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98" start="0" length="0">
    <dxf>
      <font>
        <b val="0"/>
        <sz val="8"/>
        <name val="Consolas"/>
        <family val="3"/>
      </font>
      <fill>
        <patternFill patternType="solid">
          <bgColor rgb="FF00B0F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98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98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98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I98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J98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98" start="0" length="0">
    <dxf>
      <font>
        <b val="0"/>
        <sz val="8"/>
        <name val="Consolas"/>
        <family val="3"/>
      </font>
      <fill>
        <patternFill patternType="solid">
          <bgColor rgb="FF7030A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L98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59" sId="5" odxf="1" dxf="1">
    <nc r="M98">
      <f>SUM(E98:L98)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0" sId="5" odxf="1" dxf="1">
    <nc r="N98">
      <f>M98/CALC!$A$8*CALC!$A$6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1" sId="5" odxf="1" dxf="1">
    <nc r="O98">
      <f>+M98+N98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P98" start="0" length="0">
    <dxf>
      <font>
        <b val="0"/>
        <sz val="8"/>
        <name val="Consolas"/>
        <family val="3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Q98" start="0" length="0">
    <dxf>
      <font>
        <b val="0"/>
        <sz val="8"/>
        <name val="Consolas"/>
        <family val="3"/>
      </font>
    </dxf>
  </rfmt>
  <rfmt sheetId="5" sqref="A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I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J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L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M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N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O99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P99" start="0" length="0">
    <dxf>
      <font>
        <b val="0"/>
        <sz val="8"/>
        <name val="Consolas"/>
        <family val="3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Q99" start="0" length="0">
    <dxf>
      <font>
        <b val="0"/>
        <sz val="8"/>
        <name val="Consolas"/>
        <family val="3"/>
      </font>
    </dxf>
  </rfmt>
  <rfmt sheetId="5" sqref="A100" start="0" length="0">
    <dxf/>
  </rfmt>
  <rcc rId="3962" sId="5" odxf="1" dxf="1">
    <nc r="B100" t="inlineStr">
      <is>
        <t>TOTAL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C10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63" sId="5" odxf="1" dxf="1">
    <nc r="D100">
      <f>SUM(D98:D99)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4" sId="5" odxf="1" dxf="1">
    <nc r="E100">
      <f>SUM(E98:E99)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5" sId="5" odxf="1" dxf="1">
    <nc r="F100">
      <f>SUM(F98:F99)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6" sId="5" odxf="1" dxf="1">
    <nc r="G100">
      <f>SUM(G98:G99)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7" sId="5" odxf="1" dxf="1">
    <nc r="H100">
      <f>SUM(H98:H99)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8" sId="5" odxf="1" dxf="1">
    <nc r="I100">
      <f>SUM(I98:I99)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9" sId="5" odxf="1" dxf="1">
    <nc r="J100">
      <f>SUM(J98:J99)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0" sId="5" odxf="1" dxf="1">
    <nc r="K100">
      <f>SUM(K98:K99)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1" sId="5" odxf="1" dxf="1">
    <nc r="L100">
      <f>+L98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2" sId="5" odxf="1" dxf="1">
    <nc r="M100">
      <f>SUM(M98:M99)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3" sId="5" odxf="1" dxf="1">
    <nc r="N100">
      <f>M100/CALC!$A$8*CALC!$A$6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4" sId="5" odxf="1" dxf="1">
    <nc r="O100">
      <f>+M100+N100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P100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975" sId="5" odxf="1" dxf="1">
    <nc r="Q100">
      <f>(+O100/D100)*(1+CALC!$A$3)</f>
    </nc>
    <odxf>
      <fill>
        <patternFill patternType="none">
          <bgColor indexed="65"/>
        </patternFill>
      </fill>
    </odxf>
    <ndxf>
      <fill>
        <patternFill patternType="solid">
          <bgColor theme="6" tint="0.79998168889431442"/>
        </patternFill>
      </fill>
    </ndxf>
  </rcc>
  <rcc rId="3976" sId="5" odxf="1" dxf="1">
    <nc r="A101" t="inlineStr">
      <is>
        <t>TAR/CODE</t>
      </is>
    </nc>
    <odxf>
      <font>
        <u val="none"/>
        <sz val="8"/>
        <name val="Consolas"/>
        <family val="3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u/>
        <sz val="8"/>
        <name val="Consolas"/>
        <family val="3"/>
      </font>
      <fill>
        <patternFill patternType="solid">
          <bgColor theme="8" tint="0.79998168889431442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cc rId="3977" sId="5" odxf="1" dxf="1">
    <nc r="B101" t="inlineStr">
      <is>
        <t>V0172</t>
      </is>
    </nc>
    <odxf>
      <font>
        <u val="none"/>
        <sz val="8"/>
        <name val="Consolas"/>
        <family val="3"/>
      </font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u/>
        <sz val="8"/>
        <name val="Consolas"/>
        <family val="3"/>
      </font>
      <fill>
        <patternFill patternType="solid">
          <bgColor theme="8" tint="0.79998168889431442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5" sqref="C101" start="0" length="0">
    <dxf>
      <font>
        <b val="0"/>
        <sz val="8"/>
        <name val="Consolas"/>
        <family val="3"/>
      </font>
    </dxf>
  </rfmt>
  <rcc rId="3978" sId="5" odxf="1" dxf="1">
    <nc r="D101" t="inlineStr">
      <is>
        <t>5-5 CRANE TRUCK</t>
      </is>
    </nc>
    <odxf>
      <numFmt numFmtId="167" formatCode="#,##0;[Red]#,##0"/>
      <fill>
        <patternFill patternType="none">
          <bgColor indexed="65"/>
        </patternFill>
      </fill>
      <border outline="0">
        <left/>
        <top/>
        <bottom/>
      </border>
    </odxf>
    <ndxf>
      <numFmt numFmtId="165" formatCode="0_);\(0\)"/>
      <fill>
        <patternFill patternType="solid">
          <bgColor theme="8" tint="0.79998168889431442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fmt sheetId="5" s="1" sqref="E101" start="0" length="0">
    <dxf>
      <numFmt numFmtId="165" formatCode="0_);\(0\)"/>
      <fill>
        <patternFill patternType="solid">
          <bgColor theme="8" tint="0.79998168889431442"/>
        </patternFill>
      </fill>
      <alignment horizontal="center"/>
      <border outline="0">
        <top style="medium">
          <color indexed="64"/>
        </top>
        <bottom style="medium">
          <color indexed="64"/>
        </bottom>
      </border>
    </dxf>
  </rfmt>
  <rfmt sheetId="5" s="1" sqref="F101" start="0" length="0">
    <dxf>
      <numFmt numFmtId="165" formatCode="0_);\(0\)"/>
      <fill>
        <patternFill patternType="solid">
          <bgColor theme="8" tint="0.79998168889431442"/>
        </patternFill>
      </fill>
      <alignment horizontal="center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="1" sqref="G101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H101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I101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J101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K101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L101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M101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N101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O101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qref="P101" start="0" length="0">
    <dxf>
      <font>
        <b val="0"/>
        <sz val="8"/>
        <name val="Consolas"/>
        <family val="3"/>
      </font>
    </dxf>
  </rfmt>
  <rfmt sheetId="5" sqref="Q101" start="0" length="0">
    <dxf>
      <font>
        <b val="0"/>
        <sz val="8"/>
        <name val="Consolas"/>
        <family val="3"/>
      </font>
    </dxf>
  </rfmt>
  <rfmt sheetId="5" sqref="A102" start="0" length="0">
    <dxf>
      <font>
        <b val="0"/>
        <sz val="8"/>
        <name val="Consolas"/>
        <family val="3"/>
      </font>
    </dxf>
  </rfmt>
  <rfmt sheetId="5" sqref="B102" start="0" length="0">
    <dxf>
      <font>
        <b val="0"/>
        <sz val="8"/>
        <name val="Consolas"/>
        <family val="3"/>
      </font>
    </dxf>
  </rfmt>
  <rfmt sheetId="5" sqref="C102" start="0" length="0">
    <dxf>
      <font>
        <b val="0"/>
        <sz val="8"/>
        <name val="Consolas"/>
        <family val="3"/>
      </font>
    </dxf>
  </rfmt>
  <rfmt sheetId="5" sqref="D102" start="0" length="0">
    <dxf>
      <font>
        <b val="0"/>
        <sz val="8"/>
        <name val="Consolas"/>
        <family val="3"/>
      </font>
    </dxf>
  </rfmt>
  <rfmt sheetId="5" s="1" sqref="E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F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G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H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I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J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K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L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M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N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="1" sqref="O102" start="0" length="0">
    <dxf>
      <font>
        <b val="0"/>
        <sz val="8"/>
        <color auto="1"/>
        <name val="Consolas"/>
        <family val="3"/>
        <scheme val="none"/>
      </font>
      <numFmt numFmtId="0" formatCode="General"/>
    </dxf>
  </rfmt>
  <rfmt sheetId="5" sqref="P102" start="0" length="0">
    <dxf>
      <font>
        <b val="0"/>
        <sz val="8"/>
        <name val="Consolas"/>
        <family val="3"/>
      </font>
    </dxf>
  </rfmt>
  <rfmt sheetId="5" sqref="Q102" start="0" length="0">
    <dxf>
      <font>
        <b val="0"/>
        <sz val="8"/>
        <name val="Consolas"/>
        <family val="3"/>
      </font>
    </dxf>
  </rfmt>
  <rcc rId="3979" sId="5" odxf="1" dxf="1">
    <nc r="A103">
      <f>+'1-10'!C123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7"/>
        <name val="Consolas"/>
        <family val="3"/>
      </font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80" sId="5" odxf="1" dxf="1">
    <nc r="B103">
      <f>+'1-10'!R123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b val="0"/>
        <sz val="8"/>
        <name val="Consolas"/>
        <family val="3"/>
      </font>
      <fill>
        <patternFill patternType="solid">
          <bgColor rgb="FFFFFF00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cc rId="3981" sId="5" odxf="1" dxf="1">
    <nc r="C103" t="inlineStr">
      <is>
        <t>699</t>
      </is>
    </nc>
    <odxf>
      <font>
        <b/>
        <sz val="8"/>
        <name val="Consolas"/>
        <family val="3"/>
      </font>
      <numFmt numFmtId="0" formatCode="General"/>
      <fill>
        <patternFill patternType="none">
          <bgColor indexed="65"/>
        </patternFill>
      </fill>
      <alignment horizontal="center" vertical="top"/>
      <border outline="0">
        <left/>
        <right/>
        <top/>
        <bottom/>
      </border>
    </odxf>
    <ndxf>
      <font>
        <b val="0"/>
        <sz val="8"/>
        <color theme="1"/>
        <name val="Consolas"/>
        <family val="3"/>
      </font>
      <numFmt numFmtId="30" formatCode="@"/>
      <fill>
        <patternFill patternType="solid">
          <bgColor rgb="FFFFFF00"/>
        </patternFill>
      </fill>
      <alignment horizontal="general" vertical="bottom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982" sId="5" odxf="1" dxf="1" numFmtId="4">
    <nc r="D103">
      <v>10000</v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83" sId="5" odxf="1" dxf="1">
    <nc r="E103">
      <f>+D103/P103*(CALC!$A$4)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rgb="FF00B0F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84" sId="5" odxf="1" dxf="1" numFmtId="34">
    <nc r="F103">
      <v>23400</v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85" sId="5" odxf="1" dxf="1">
    <nc r="G103">
      <f>CALC!$A$22*(I103/CEM!I$146)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86" sId="5" odxf="1" dxf="1">
    <nc r="H103">
      <f>140000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87" sId="5" odxf="1" dxf="1" numFmtId="34">
    <nc r="I103">
      <v>97340.31</v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J103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88" sId="5" odxf="1" dxf="1">
    <nc r="K103">
      <f>34158*1.06</f>
    </nc>
    <odxf>
      <font>
        <b/>
        <sz val="8"/>
        <name val="Consolas"/>
        <family val="3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 val="0"/>
        <sz val="8"/>
        <name val="Consolas"/>
        <family val="3"/>
      </font>
      <fill>
        <patternFill patternType="solid">
          <bgColor rgb="FF7030A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L103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89" sId="5" odxf="1" dxf="1">
    <nc r="M103">
      <f>SUM(E103:L103)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0" sId="5" odxf="1" dxf="1">
    <nc r="N103">
      <f>M103/CALC!$A$8*CALC!$A$6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1" sId="5" odxf="1" dxf="1">
    <nc r="O103">
      <f>+M103+N103</f>
    </nc>
    <odxf>
      <font>
        <b/>
        <sz val="8"/>
        <name val="Consolas"/>
        <family val="3"/>
      </font>
      <border outline="0">
        <left/>
        <righ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2" sId="5" odxf="1" dxf="1" numFmtId="34">
    <nc r="P103">
      <v>1.3</v>
    </nc>
    <odxf>
      <font>
        <b/>
        <sz val="8"/>
        <name val="Consolas"/>
        <family val="3"/>
      </font>
      <border outline="0">
        <left/>
        <top/>
        <bottom/>
      </border>
    </odxf>
    <ndxf>
      <font>
        <b val="0"/>
        <sz val="8"/>
        <name val="Consolas"/>
        <family val="3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5" sqref="Q103" start="0" length="0">
    <dxf>
      <font>
        <b val="0"/>
        <sz val="8"/>
        <name val="Consolas"/>
        <family val="3"/>
      </font>
    </dxf>
  </rfmt>
  <rfmt sheetId="5" sqref="A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I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J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L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M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N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O104" start="0" length="0">
    <dxf>
      <font>
        <b val="0"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P104" start="0" length="0">
    <dxf>
      <font>
        <b val="0"/>
        <sz val="8"/>
        <name val="Consolas"/>
        <family val="3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Q104" start="0" length="0">
    <dxf>
      <font>
        <b val="0"/>
        <sz val="8"/>
        <name val="Consolas"/>
        <family val="3"/>
      </font>
    </dxf>
  </rfmt>
  <rfmt sheetId="5" sqref="A105" start="0" length="0">
    <dxf>
      <font>
        <b/>
        <sz val="8"/>
        <name val="Consolas"/>
        <family val="3"/>
      </font>
    </dxf>
  </rfmt>
  <rcc rId="3993" sId="5" odxf="1" dxf="1">
    <nc r="B105" t="inlineStr">
      <is>
        <t>TOTAL</t>
      </is>
    </nc>
    <odxf>
      <font>
        <b val="0"/>
        <sz val="8"/>
        <name val="Consolas"/>
        <family val="3"/>
      </font>
      <border outline="0">
        <left/>
        <right/>
        <top/>
        <bottom/>
      </border>
    </odxf>
    <ndxf>
      <font>
        <b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C105" start="0" length="0">
    <dxf>
      <font>
        <b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94" sId="5" odxf="1" dxf="1">
    <nc r="D105">
      <f>SUM(D103:D104)</f>
    </nc>
    <odxf>
      <font>
        <b val="0"/>
        <sz val="8"/>
        <name val="Consolas"/>
        <family val="3"/>
      </font>
      <border outline="0">
        <left/>
        <right/>
        <top/>
        <bottom/>
      </border>
    </odxf>
    <ndxf>
      <font>
        <b/>
        <sz val="8"/>
        <name val="Consolas"/>
        <family val="3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5" sId="5" odxf="1" s="1" dxf="1">
    <nc r="E105">
      <f>SUM(E103:E104)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6" sId="5" odxf="1" s="1" dxf="1">
    <nc r="F105">
      <f>SUM(F103:F104)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7" sId="5" odxf="1" s="1" dxf="1">
    <nc r="G105">
      <f>SUM(G103:G104)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8" sId="5" odxf="1" s="1" dxf="1">
    <nc r="H105">
      <f>SUM(H103:H104)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9" sId="5" odxf="1" s="1" dxf="1">
    <nc r="I105">
      <f>SUM(I103:I104)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0" sId="5" odxf="1" s="1" dxf="1">
    <nc r="J105">
      <f>SUM(J103:J104)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1" sId="5" odxf="1" s="1" dxf="1">
    <nc r="K105">
      <f>SUM(K103:K104)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2" sId="5" odxf="1" s="1" dxf="1">
    <nc r="L105">
      <f>+L103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3" sId="5" odxf="1" s="1" dxf="1">
    <nc r="M105">
      <f>SUM(M103:M104)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4" sId="5" odxf="1" s="1" dxf="1">
    <nc r="N105">
      <f>M105/CALC!$A$8*CALC!$A$6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5" sId="5" odxf="1" s="1" dxf="1">
    <nc r="O105">
      <f>+M105+N105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P105" start="0" length="0">
    <dxf>
      <font>
        <b/>
        <sz val="8"/>
        <name val="Consolas"/>
        <family val="3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4006" sId="5" odxf="1" dxf="1">
    <nc r="Q105">
      <f>(+O105/D105)*(1+CALC!$A$3)</f>
    </nc>
    <odxf>
      <font>
        <b val="0"/>
        <sz val="8"/>
        <name val="Consolas"/>
        <family val="3"/>
      </font>
      <fill>
        <patternFill patternType="none">
          <bgColor indexed="65"/>
        </patternFill>
      </fill>
    </odxf>
    <ndxf>
      <font>
        <b/>
        <sz val="8"/>
        <name val="Consolas"/>
        <family val="3"/>
      </font>
      <fill>
        <patternFill patternType="solid">
          <bgColor theme="6" tint="0.79998168889431442"/>
        </patternFill>
      </fill>
    </ndxf>
  </rcc>
  <rcc rId="4007" sId="5">
    <nc r="A98" t="inlineStr">
      <is>
        <t>Generator Hoof gebou</t>
      </is>
    </nc>
  </rcc>
  <rcc rId="4008" sId="5" numFmtId="4">
    <nc r="D98">
      <v>2000</v>
    </nc>
  </rcc>
  <rcc rId="4009" sId="5">
    <nc r="E98">
      <f>+D98*P98*(CALC!$A$4)</f>
    </nc>
  </rcc>
  <rcc rId="4010" sId="5" numFmtId="34">
    <nc r="H98">
      <v>30000</v>
    </nc>
  </rcc>
  <rcc rId="4011" sId="5" numFmtId="34">
    <nc r="P98">
      <v>35</v>
    </nc>
  </rcc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2" sId="5">
    <oc r="C98" t="inlineStr">
      <is>
        <t>699</t>
      </is>
    </oc>
    <nc r="C98"/>
  </rcc>
  <rcc rId="4013" sId="5" numFmtId="34">
    <oc r="P98">
      <v>35</v>
    </oc>
    <nc r="P98">
      <v>30</v>
    </nc>
  </rcc>
  <rcc rId="4014" sId="5">
    <oc r="A103">
      <f>+'1-10'!C123</f>
    </oc>
    <nc r="A103" t="inlineStr">
      <is>
        <t>Nuwe Voertuie</t>
      </is>
    </nc>
  </rcc>
  <rcc rId="4015" sId="5">
    <oc r="B103">
      <f>+'1-10'!R123</f>
    </oc>
    <nc r="B103"/>
  </rcc>
  <rcc rId="4016" sId="5">
    <oc r="B98">
      <f>+'1-10'!R118</f>
    </oc>
    <nc r="B98"/>
  </rcc>
  <rcc rId="4017" sId="5">
    <oc r="C103" t="inlineStr">
      <is>
        <t>699</t>
      </is>
    </oc>
    <nc r="C103"/>
  </rcc>
  <rcc rId="4018" sId="5" numFmtId="4">
    <oc r="D103">
      <v>10000</v>
    </oc>
    <nc r="D103"/>
  </rcc>
  <rcc rId="4019" sId="5">
    <oc r="E103">
      <f>+D103/P103*(CALC!$A$4)</f>
    </oc>
    <nc r="E103"/>
  </rcc>
  <rcc rId="4020" sId="5" numFmtId="34">
    <oc r="F103">
      <v>23400</v>
    </oc>
    <nc r="F103"/>
  </rcc>
  <rcc rId="4021" sId="5">
    <oc r="G103">
      <f>CALC!$A$22*(I103/CEM!I$146)</f>
    </oc>
    <nc r="G103"/>
  </rcc>
  <rcc rId="4022" sId="5" numFmtId="34">
    <oc r="I103">
      <v>97340.31</v>
    </oc>
    <nc r="I103"/>
  </rcc>
  <rcc rId="4023" sId="5" numFmtId="34">
    <oc r="K103">
      <f>34158*1.06</f>
    </oc>
    <nc r="K103">
      <v>25000</v>
    </nc>
  </rcc>
  <rcc rId="4024" sId="5" numFmtId="34">
    <nc r="J103">
      <v>4000000</v>
    </nc>
  </rcc>
  <rfmt sheetId="5" s="1" sqref="E107" start="0" length="0">
    <dxf>
      <numFmt numFmtId="167" formatCode="#,##0;[Red]#,##0"/>
    </dxf>
  </rfmt>
  <rfmt sheetId="5" s="1" sqref="F107" start="0" length="0">
    <dxf>
      <numFmt numFmtId="167" formatCode="#,##0;[Red]#,##0"/>
    </dxf>
  </rfmt>
  <rfmt sheetId="5" s="1" sqref="G107" start="0" length="0">
    <dxf>
      <numFmt numFmtId="167" formatCode="#,##0;[Red]#,##0"/>
    </dxf>
  </rfmt>
  <rfmt sheetId="5" s="1" sqref="H107" start="0" length="0">
    <dxf>
      <numFmt numFmtId="167" formatCode="#,##0;[Red]#,##0"/>
    </dxf>
  </rfmt>
  <rfmt sheetId="5" s="1" sqref="I107" start="0" length="0">
    <dxf>
      <numFmt numFmtId="167" formatCode="#,##0;[Red]#,##0"/>
    </dxf>
  </rfmt>
  <rfmt sheetId="5" s="1" sqref="J107" start="0" length="0">
    <dxf>
      <numFmt numFmtId="167" formatCode="#,##0;[Red]#,##0"/>
    </dxf>
  </rfmt>
  <rfmt sheetId="5" s="1" sqref="K107" start="0" length="0">
    <dxf>
      <numFmt numFmtId="167" formatCode="#,##0;[Red]#,##0"/>
    </dxf>
  </rfmt>
  <rfmt sheetId="5" s="1" sqref="L107" start="0" length="0">
    <dxf>
      <numFmt numFmtId="167" formatCode="#,##0;[Red]#,##0"/>
    </dxf>
  </rfmt>
  <rfmt sheetId="5" s="1" sqref="M107" start="0" length="0">
    <dxf>
      <numFmt numFmtId="167" formatCode="#,##0;[Red]#,##0"/>
    </dxf>
  </rfmt>
  <rfmt sheetId="5" s="1" sqref="N107" start="0" length="0">
    <dxf>
      <numFmt numFmtId="167" formatCode="#,##0;[Red]#,##0"/>
    </dxf>
  </rfmt>
  <rfmt sheetId="5" s="1" sqref="O107" start="0" length="0">
    <dxf>
      <numFmt numFmtId="167" formatCode="#,##0;[Red]#,##0"/>
    </dxf>
  </rfmt>
  <rcc rId="4025" sId="5">
    <oc r="D110">
      <f>+D9+D24+D48+D54+D61+D69+D76+D82</f>
    </oc>
    <nc r="D110">
      <f>D107</f>
    </nc>
  </rcc>
  <rcc rId="4026" sId="5">
    <oc r="E110">
      <f>+E9+E24+E48+E54+E61+E69+E76+E82</f>
    </oc>
    <nc r="E110">
      <f>E107</f>
    </nc>
  </rcc>
  <rcc rId="4027" sId="5">
    <oc r="F110">
      <f>+F54+F61+F94</f>
    </oc>
    <nc r="F110">
      <f>F107</f>
    </nc>
  </rcc>
  <rcc rId="4028" sId="5">
    <oc r="G110">
      <f>+G9+G24+G48+G54+G61+G69+G76+G82+G94</f>
    </oc>
    <nc r="G110">
      <f>G107</f>
    </nc>
  </rcc>
  <rcc rId="4029" sId="5">
    <oc r="H110">
      <f>+H9+H24+H48+H54+H61+H69+H76+H82+H94</f>
    </oc>
    <nc r="H110">
      <f>H107</f>
    </nc>
  </rcc>
  <rcc rId="4030" sId="5">
    <oc r="I110">
      <f>+I9+I24+I48+I54+I61+I69+I76+I82+I94</f>
    </oc>
    <nc r="I110">
      <f>I107</f>
    </nc>
  </rcc>
  <rcc rId="4031" sId="5">
    <oc r="J110">
      <f>+J9+J24+J48+J54+J61+J69+J76+J82+J94</f>
    </oc>
    <nc r="J110">
      <f>J107</f>
    </nc>
  </rcc>
  <rcc rId="4032" sId="5">
    <oc r="K110">
      <f>+K9+K24+K48+K54+K61+K69+K76+K82+K94</f>
    </oc>
    <nc r="K110">
      <f>K107</f>
    </nc>
  </rcc>
  <rcc rId="4033" sId="5">
    <oc r="L110">
      <f>+L9+L24+L48+L54+L61+L69+L76+L82+L94</f>
    </oc>
    <nc r="L110">
      <f>L107</f>
    </nc>
  </rcc>
  <rcc rId="4034" sId="5">
    <oc r="M110">
      <f>+M9+M24+M48+M54+M61+M69+M76+M82+M94</f>
    </oc>
    <nc r="M110">
      <f>M107</f>
    </nc>
  </rcc>
  <rcc rId="4035" sId="5">
    <oc r="N110">
      <f>+N9+N24+N48+N54+N61+N69+N76+N82+N94</f>
    </oc>
    <nc r="N110">
      <f>N107</f>
    </nc>
  </rcc>
  <rcc rId="4036" sId="5">
    <oc r="O110">
      <f>+O9+O24+O48+O54+O61+O69+O76+O82+O94</f>
    </oc>
    <nc r="O110">
      <f>O107</f>
    </nc>
  </rcc>
  <rcc rId="4037" sId="5">
    <oc r="G107">
      <f>+G9+G24+G48+G54+G61+G69+G76+G94+G82</f>
    </oc>
    <nc r="G107">
      <f>+G9+G24+G48+G54+G61+G69+G76+G94+G82+G100+G105</f>
    </nc>
  </rcc>
  <rcc rId="4038" sId="5">
    <oc r="H107">
      <f>+H9+H24+H48+H54+H61+H69+H76+H94+H82</f>
    </oc>
    <nc r="H107">
      <f>+H9+H24+H48+H54+H61+H69+H76+H94+H82+H100+H105</f>
    </nc>
  </rcc>
  <rcc rId="4039" sId="5">
    <oc r="I107">
      <f>+I9+I24+I48+I54+I61+I69+I76+I94+I82</f>
    </oc>
    <nc r="I107">
      <f>+I9+I24+I48+I54+I61+I69+I76+I94+I82+I100+I105</f>
    </nc>
  </rcc>
  <rcc rId="4040" sId="5">
    <oc r="J107">
      <f>+J9+J24+J48+J54+J61+J69+J76+J94+J82</f>
    </oc>
    <nc r="J107">
      <f>+J9+J24+J48+J54+J61+J69+J76+J94+J82+J100+J105</f>
    </nc>
  </rcc>
  <rcc rId="4041" sId="5">
    <oc r="K107">
      <f>+K9+K24+K48+K54+K61+K69+K76+K94+K82</f>
    </oc>
    <nc r="K107">
      <f>+K9+K24+K48+K54+K61+K69+K76+K94+K82+K100+K105</f>
    </nc>
  </rcc>
  <rcc rId="4042" sId="5">
    <oc r="L107">
      <f>+L9+L24+L48+L54+L61+L69+L76+L94+L82</f>
    </oc>
    <nc r="L107">
      <f>+L9+L24+L48+L54+L61+L69+L76+L94+L82+L100+L105</f>
    </nc>
  </rcc>
  <rcc rId="4043" sId="5">
    <oc r="M107">
      <f>+M9+M24+M48+M54+M61+M69+M76+M94+M82</f>
    </oc>
    <nc r="M107">
      <f>+M9+M24+M48+M54+M61+M69+M76+M94+M82+M100+M105</f>
    </nc>
  </rcc>
  <rcc rId="4044" sId="5">
    <oc r="N107">
      <f>+N9+N24+N48+N54+N61+N69+N76+N94+N82</f>
    </oc>
    <nc r="N107">
      <f>+N9+N24+N48+N54+N61+N69+N76+N94+N82+N100+N105</f>
    </nc>
  </rcc>
  <rcc rId="4045" sId="5">
    <oc r="O107">
      <f>+O9+O24+O48+O54+O61+O69+O76+O94+O82</f>
    </oc>
    <nc r="O107">
      <f>+O9+O24+O48+O54+O61+O69+O76+O94+O82+O100+O105</f>
    </nc>
  </rcc>
  <rcc rId="4046" sId="5">
    <oc r="D107">
      <f>+D9+D24+D48+D54+D61+D69+D76+D94+D82</f>
    </oc>
    <nc r="D107">
      <f>+D9+D24+D48+D54+D61+D69+D76+D94+D82+D100+D105</f>
    </nc>
  </rcc>
  <rcc rId="4047" sId="5">
    <oc r="E107">
      <f>+E9+E24+E48+E54+E61+E69+E76+E94+E82</f>
    </oc>
    <nc r="E107">
      <f>+E9+E24+E48+E54+E61+E69+E76+E94+E82+E100+E105</f>
    </nc>
  </rcc>
  <rcc rId="4048" sId="5">
    <oc r="F107">
      <f>+F9+F24+F48+F54+F61+F69+F76+F94+F82</f>
    </oc>
    <nc r="F107">
      <f>+F9+F24+F48+F54+F61+F69+F76+F94+F82+F100+F105</f>
    </nc>
  </rcc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9" sId="6">
    <oc r="A119" t="inlineStr">
      <is>
        <t>POLE TRAILER</t>
      </is>
    </oc>
    <nc r="A119" t="inlineStr">
      <is>
        <t>POLE TRAILER DKX038N</t>
      </is>
    </nc>
  </rcc>
  <rfmt sheetId="6" sqref="K119">
    <dxf>
      <fill>
        <patternFill>
          <bgColor rgb="FF7030A0"/>
        </patternFill>
      </fill>
    </dxf>
  </rfmt>
  <rcc rId="4050" sId="6">
    <oc r="B119" t="inlineStr">
      <is>
        <t>DKX 038 N [063]</t>
      </is>
    </oc>
    <nc r="B119" t="inlineStr">
      <is>
        <t>DMY 811 L [063]</t>
      </is>
    </nc>
  </rcc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1" sId="5">
    <oc r="A59" t="inlineStr">
      <is>
        <t>JCB</t>
      </is>
    </oc>
    <nc r="A59" t="inlineStr">
      <is>
        <t>JCB  DJH087N</t>
      </is>
    </nc>
  </rcc>
  <rcc rId="4052" sId="5">
    <oc r="B59" t="inlineStr">
      <is>
        <t>DJH 087 N</t>
      </is>
    </oc>
    <nc r="B59" t="inlineStr">
      <is>
        <t>DMY 721 L</t>
      </is>
    </nc>
  </rcc>
  <rfmt sheetId="5" sqref="K59">
    <dxf>
      <fill>
        <patternFill>
          <bgColor rgb="FF7030A0"/>
        </patternFill>
      </fill>
    </dxf>
  </rfmt>
  <rcc rId="4053" sId="6">
    <oc r="A109" t="inlineStr">
      <is>
        <t>NEW HOLLAND</t>
      </is>
    </oc>
    <nc r="A109" t="inlineStr">
      <is>
        <t>NEW HOLLAND DWD351N</t>
      </is>
    </nc>
  </rcc>
  <rcc rId="4054" sId="6">
    <oc r="B109" t="inlineStr">
      <is>
        <t>DWD 351 N</t>
      </is>
    </oc>
    <nc r="B109" t="inlineStr">
      <is>
        <t>DMY 724 L</t>
      </is>
    </nc>
  </rcc>
  <rfmt sheetId="6" sqref="K109">
    <dxf>
      <fill>
        <patternFill>
          <bgColor rgb="FF7030A0"/>
        </patternFill>
      </fill>
    </dxf>
  </rfmt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5" sId="5">
    <oc r="A92" t="inlineStr">
      <is>
        <t>FLAT DECK - SPIDER</t>
      </is>
    </oc>
    <nc r="A92" t="inlineStr">
      <is>
        <t>FLAT DECK - SPIDER DXV047N</t>
      </is>
    </nc>
  </rcc>
  <rcc rId="4056" sId="5">
    <oc r="B92" t="inlineStr">
      <is>
        <t>DXV 047 N</t>
      </is>
    </oc>
    <nc r="B92" t="inlineStr">
      <is>
        <t>DMY 705 L</t>
      </is>
    </nc>
  </rcc>
  <rfmt sheetId="5" sqref="K92">
    <dxf>
      <fill>
        <patternFill>
          <bgColor rgb="FF7030A0"/>
        </patternFill>
      </fill>
    </dxf>
  </rfmt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K47">
    <dxf>
      <fill>
        <patternFill>
          <bgColor rgb="FF7030A0"/>
        </patternFill>
      </fill>
    </dxf>
  </rfmt>
  <rcc rId="4057" sId="4">
    <oc r="A47" t="inlineStr">
      <is>
        <t>DJY 946 N</t>
      </is>
    </oc>
    <nc r="A47" t="inlineStr">
      <is>
        <t>DMY 735 L</t>
      </is>
    </nc>
  </rcc>
  <rcc rId="4058" sId="4">
    <oc r="B47" t="inlineStr">
      <is>
        <t>TRAILER</t>
      </is>
    </oc>
    <nc r="B47" t="inlineStr">
      <is>
        <t xml:space="preserve"> Venter TRAILER DJY496N</t>
      </is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SERV'!$A$1:$Q$103</formula>
    <oldFormula>'COMMUNITY SERV'!$A$1:$Q$103</oldFormula>
  </rdn>
  <rdn rId="0" localSheetId="5" customView="1" name="Z_DF69299D_7752_4436_A45D_28F739CEE21B_.wvu.PrintArea" hidden="1" oldHidden="1">
    <formula>EEM!$A$1:$Q$107</formula>
    <oldFormula>EEM!$A$1:$Q$107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MDC!$A$1:$Q$99</formula>
    <oldFormula>MDC!$A$1:$Q$99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83" sId="7">
    <oc r="A50" t="inlineStr">
      <is>
        <t>JCB Autiond Nov 2023</t>
      </is>
    </oc>
    <nc r="A50" t="inlineStr">
      <is>
        <t>JCB Autiond Nov 2023 BCC135N</t>
      </is>
    </nc>
  </rcc>
  <rcc rId="4084" sId="7">
    <oc r="B50" t="inlineStr">
      <is>
        <t>BCC 135 N</t>
      </is>
    </oc>
    <nc r="B50" t="inlineStr">
      <is>
        <t>DMP 673 L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24:C24">
    <dxf>
      <fill>
        <patternFill patternType="solid">
          <bgColor rgb="FFFFFF00"/>
        </patternFill>
      </fill>
    </dxf>
  </rfmt>
  <rfmt sheetId="7" sqref="L25">
    <dxf>
      <fill>
        <patternFill patternType="solid">
          <bgColor rgb="FFC00000"/>
        </patternFill>
      </fill>
    </dxf>
  </rfmt>
  <rfmt sheetId="7" sqref="L25">
    <dxf>
      <fill>
        <patternFill>
          <bgColor rgb="FFFFFF00"/>
        </patternFill>
      </fill>
    </dxf>
  </rfmt>
  <rfmt sheetId="7" sqref="L25">
    <dxf>
      <fill>
        <patternFill>
          <bgColor rgb="FFC00000"/>
        </patternFill>
      </fill>
    </dxf>
  </rfmt>
  <rfmt sheetId="7" sqref="A23:C23">
    <dxf>
      <fill>
        <patternFill patternType="solid">
          <bgColor rgb="FFFFFF00"/>
        </patternFill>
      </fill>
    </dxf>
  </rfmt>
  <rfmt sheetId="6" sqref="A15:C15">
    <dxf>
      <fill>
        <patternFill patternType="solid">
          <bgColor rgb="FFFFFF00"/>
        </patternFill>
      </fill>
    </dxf>
  </rfmt>
  <rfmt sheetId="6" sqref="J15">
    <dxf>
      <fill>
        <patternFill patternType="solid">
          <bgColor rgb="FFC00000"/>
        </patternFill>
      </fill>
    </dxf>
  </rfmt>
  <rcc rId="2772" sId="6">
    <oc r="J21" t="inlineStr">
      <is>
        <t>Parks</t>
      </is>
    </oc>
    <nc r="J21"/>
  </rcc>
  <rcc rId="2773" sId="7">
    <oc r="L25">
      <f>SUM(L22:L24)</f>
    </oc>
    <nc r="L25"/>
  </rcc>
  <rcc rId="2774" sId="7">
    <oc r="L34" t="inlineStr">
      <is>
        <t>Roads</t>
      </is>
    </oc>
    <nc r="L34"/>
  </rcc>
  <rfmt sheetId="7" sqref="A10:C10">
    <dxf>
      <fill>
        <patternFill patternType="solid">
          <bgColor rgb="FFFFFF00"/>
        </patternFill>
      </fill>
    </dxf>
  </rfmt>
  <rfmt sheetId="7" sqref="A8:C8">
    <dxf>
      <fill>
        <patternFill patternType="solid">
          <bgColor rgb="FFFFFF00"/>
        </patternFill>
      </fill>
    </dxf>
  </rfmt>
  <rfmt sheetId="7" sqref="A7:C7">
    <dxf>
      <fill>
        <patternFill patternType="solid">
          <bgColor rgb="FFFFFF00"/>
        </patternFill>
      </fill>
    </dxf>
  </rfmt>
  <rfmt sheetId="7" sqref="A22:C22">
    <dxf>
      <fill>
        <patternFill patternType="solid">
          <bgColor rgb="FFFFFF00"/>
        </patternFill>
      </fill>
    </dxf>
  </rfmt>
  <rfmt sheetId="2" sqref="A9:C9">
    <dxf>
      <fill>
        <patternFill patternType="solid">
          <bgColor rgb="FFFFFF00"/>
        </patternFill>
      </fill>
    </dxf>
  </rfmt>
  <rfmt sheetId="2" sqref="J9">
    <dxf>
      <fill>
        <patternFill patternType="solid">
          <bgColor rgb="FFC00000"/>
        </patternFill>
      </fill>
    </dxf>
  </rfmt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85" sId="6">
    <oc r="A94" t="inlineStr">
      <is>
        <t>JCB Auctioned Nov 2023</t>
      </is>
    </oc>
    <nc r="A94" t="inlineStr">
      <is>
        <t>JCB Auctioned Nov 2023 BCC136N</t>
      </is>
    </nc>
  </rcc>
  <rcc rId="4086" sId="6">
    <oc r="B94" t="inlineStr">
      <is>
        <t>BCC 136 N [063]</t>
      </is>
    </oc>
    <nc r="B94" t="inlineStr">
      <is>
        <t>DMP 676 L</t>
      </is>
    </nc>
  </rcc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87" sId="6">
    <oc r="A95" t="inlineStr">
      <is>
        <t>JCB Auctioned Nov 2023</t>
      </is>
    </oc>
    <nc r="A95" t="inlineStr">
      <is>
        <t>JCB Auctioned Nov 2023 BCC137N</t>
      </is>
    </nc>
  </rcc>
  <rcc rId="4088" sId="6">
    <oc r="B95" t="inlineStr">
      <is>
        <t>BCC 137 N [063]</t>
      </is>
    </oc>
    <nc r="B95" t="inlineStr">
      <is>
        <t>DMY 861 L</t>
      </is>
    </nc>
  </rcc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89" sId="6">
    <oc r="A110" t="inlineStr">
      <is>
        <t>FORD TRACTOR</t>
      </is>
    </oc>
    <nc r="A110" t="inlineStr">
      <is>
        <t>FORD TRACTOR DLG112N</t>
      </is>
    </nc>
  </rcc>
  <rcc rId="4090" sId="6">
    <oc r="B110" t="inlineStr">
      <is>
        <t>DLG 112 N [063]</t>
      </is>
    </oc>
    <nc r="B110" t="inlineStr">
      <is>
        <t>DMY 779 L</t>
      </is>
    </nc>
  </rcc>
  <rfmt sheetId="6" sqref="K110">
    <dxf>
      <fill>
        <patternFill>
          <bgColor rgb="FF7030A0"/>
        </patternFill>
      </fill>
    </dxf>
  </rfmt>
  <rfmt sheetId="6" sqref="K94:K95">
    <dxf>
      <fill>
        <patternFill>
          <bgColor rgb="FF7030A0"/>
        </patternFill>
      </fill>
    </dxf>
  </rfmt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1" sId="6">
    <oc r="A120" t="inlineStr">
      <is>
        <t>POLE TRAILER</t>
      </is>
    </oc>
    <nc r="A120" t="inlineStr">
      <is>
        <t>POLE TRAILER DLV291N</t>
      </is>
    </nc>
  </rcc>
  <rcc rId="4092" sId="6">
    <oc r="B120" t="inlineStr">
      <is>
        <t>DLV 291 N [063]</t>
      </is>
    </oc>
    <nc r="B120" t="inlineStr">
      <is>
        <t>DMY 814 L</t>
      </is>
    </nc>
  </rcc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K120">
    <dxf>
      <fill>
        <patternFill>
          <bgColor rgb="FF7030A0"/>
        </patternFill>
      </fill>
    </dxf>
  </rfmt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3" sId="6">
    <oc r="A121" t="inlineStr">
      <is>
        <t>POLE TRAILER</t>
      </is>
    </oc>
    <nc r="A121" t="inlineStr">
      <is>
        <t>POLE TRAILER DKX039N</t>
      </is>
    </nc>
  </rcc>
  <rcc rId="4094" sId="6">
    <oc r="B121" t="inlineStr">
      <is>
        <t>DKX 039 N [063]</t>
      </is>
    </oc>
    <nc r="B121" t="inlineStr">
      <is>
        <t>DMY 808 L</t>
      </is>
    </nc>
  </rcc>
  <rfmt sheetId="6" sqref="K121">
    <dxf>
      <fill>
        <patternFill>
          <bgColor rgb="FF7030A0"/>
        </patternFill>
      </fill>
    </dxf>
  </rfmt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5" sId="4">
    <oc r="B57" t="inlineStr">
      <is>
        <t>TRAILER</t>
      </is>
    </oc>
    <nc r="B57" t="inlineStr">
      <is>
        <t xml:space="preserve"> HERSOFAM DNR351N</t>
      </is>
    </nc>
  </rcc>
  <rcc rId="4096" sId="4">
    <oc r="A57" t="inlineStr">
      <is>
        <t>DNR 351 N [144]</t>
      </is>
    </oc>
    <nc r="A57" t="inlineStr">
      <is>
        <t>DMY 758 L</t>
      </is>
    </nc>
  </rcc>
  <rfmt sheetId="4" sqref="K57">
    <dxf>
      <fill>
        <patternFill>
          <bgColor rgb="FF7030A0"/>
        </patternFill>
      </fill>
    </dxf>
  </rfmt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7" sId="4">
    <oc r="B44" t="inlineStr">
      <is>
        <t>WATERTANKER</t>
      </is>
    </oc>
    <nc r="B44" t="inlineStr">
      <is>
        <t>WATERTANKER DNR343N</t>
      </is>
    </nc>
  </rcc>
  <rcc rId="4098" sId="4">
    <oc r="A44" t="inlineStr">
      <is>
        <t>DNR 343 N</t>
      </is>
    </oc>
    <nc r="A44" t="inlineStr">
      <is>
        <t>DMY 815 L</t>
      </is>
    </nc>
  </rcc>
  <rfmt sheetId="4" sqref="K44">
    <dxf>
      <fill>
        <patternFill>
          <bgColor rgb="FF7030A0"/>
        </patternFill>
      </fill>
    </dxf>
  </rfmt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9" sId="6">
    <oc r="A116" t="inlineStr">
      <is>
        <t>FERGUSON TRAILER</t>
      </is>
    </oc>
    <nc r="A116" t="inlineStr">
      <is>
        <t>FERGUSON TRAILER DKN793N</t>
      </is>
    </nc>
  </rcc>
  <rcc rId="4100" sId="6">
    <oc r="B116" t="inlineStr">
      <is>
        <t>DKN 793 N [063]</t>
      </is>
    </oc>
    <nc r="B116" t="inlineStr">
      <is>
        <t>DMY 797 L</t>
      </is>
    </nc>
  </rcc>
  <rfmt sheetId="6" sqref="K116">
    <dxf>
      <fill>
        <patternFill>
          <bgColor rgb="FF7030A0"/>
        </patternFill>
      </fill>
    </dxf>
  </rfmt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1" sId="6">
    <oc r="A91" t="inlineStr">
      <is>
        <t>BOMAG TRAILER</t>
      </is>
    </oc>
    <nc r="A91" t="inlineStr">
      <is>
        <t>BOMAG TRAILER DNB899N</t>
      </is>
    </nc>
  </rcc>
  <rcc rId="4102" sId="6">
    <oc r="B91" t="inlineStr">
      <is>
        <t>DNB 899 N [063]</t>
      </is>
    </oc>
    <nc r="B91" t="inlineStr">
      <is>
        <t>DRG 008 L</t>
      </is>
    </nc>
  </rcc>
  <rfmt sheetId="6" sqref="K91">
    <dxf>
      <fill>
        <patternFill>
          <bgColor rgb="FF7030A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14:C14">
    <dxf>
      <fill>
        <patternFill patternType="solid">
          <bgColor rgb="FFFFFF00"/>
        </patternFill>
      </fill>
    </dxf>
  </rfmt>
  <rfmt sheetId="7" sqref="A16:C16">
    <dxf>
      <fill>
        <patternFill patternType="solid">
          <bgColor rgb="FFFFFF00"/>
        </patternFill>
      </fill>
    </dxf>
  </rfmt>
  <rfmt sheetId="7" sqref="A9:C9">
    <dxf>
      <fill>
        <patternFill patternType="solid">
          <bgColor rgb="FFFFFF00"/>
        </patternFill>
      </fill>
    </dxf>
  </rfmt>
  <rfmt sheetId="6" sqref="A27:C27">
    <dxf>
      <fill>
        <patternFill patternType="solid">
          <bgColor rgb="FFFFFF00"/>
        </patternFill>
      </fill>
    </dxf>
  </rfmt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3" sId="6">
    <oc r="A96" t="inlineStr">
      <is>
        <t>WRIGHT 120G Auctioned Nov 2022</t>
      </is>
    </oc>
    <nc r="A96" t="inlineStr">
      <is>
        <t>WRIGHT 120G Auctioned Nov 2022 DLG101N</t>
      </is>
    </nc>
  </rcc>
  <rcc rId="4104" sId="6">
    <oc r="B96" t="inlineStr">
      <is>
        <t>DLG 101 N [063]</t>
      </is>
    </oc>
    <nc r="B96" t="inlineStr">
      <is>
        <t>DMY 864 L</t>
      </is>
    </nc>
  </rcc>
</revisions>
</file>

<file path=xl/revisions/revisionLog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5" sId="5">
    <oc r="A86" t="inlineStr">
      <is>
        <t>TRAILER</t>
      </is>
    </oc>
    <nc r="A86" t="inlineStr">
      <is>
        <t>TRAILER BAKRAK DLG)(*N</t>
      </is>
    </nc>
  </rcc>
  <rcc rId="4106" sId="5">
    <oc r="B86" t="inlineStr">
      <is>
        <t>DLG 098 N</t>
      </is>
    </oc>
    <nc r="B86" t="inlineStr">
      <is>
        <t>DMY 770 L</t>
      </is>
    </nc>
  </rcc>
  <rfmt sheetId="5" sqref="K86">
    <dxf>
      <fill>
        <patternFill>
          <bgColor rgb="FF7030A0"/>
        </patternFill>
      </fill>
    </dxf>
  </rfmt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7" sId="5">
    <oc r="A87" t="inlineStr">
      <is>
        <t>TRAILER</t>
      </is>
    </oc>
    <nc r="A87" t="inlineStr">
      <is>
        <t>TRAILER DLF731N</t>
      </is>
    </nc>
  </rcc>
  <rcc rId="4108" sId="5">
    <oc r="B87" t="inlineStr">
      <is>
        <t>DLF 731 N</t>
      </is>
    </oc>
    <nc r="B87" t="inlineStr">
      <is>
        <t>DRP 368 L</t>
      </is>
    </nc>
  </rcc>
  <rcc rId="4109" sId="5">
    <oc r="A86" t="inlineStr">
      <is>
        <t>TRAILER BAKRAK DLG)(*N</t>
      </is>
    </oc>
    <nc r="A86" t="inlineStr">
      <is>
        <t>TRAILER BAKRAK DLG098N</t>
      </is>
    </nc>
  </rcc>
</revisions>
</file>

<file path=xl/revisions/revisionLog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K87">
    <dxf>
      <fill>
        <patternFill>
          <bgColor rgb="FF7030A0"/>
        </patternFill>
      </fill>
    </dxf>
  </rfmt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0" sId="6">
    <oc r="A87" t="inlineStr">
      <is>
        <t>ATLAS COPCO</t>
      </is>
    </oc>
    <nc r="A87" t="inlineStr">
      <is>
        <t>ATLAS COPCO DNB889N</t>
      </is>
    </nc>
  </rcc>
  <rcc rId="4111" sId="6">
    <oc r="B87" t="inlineStr">
      <is>
        <t>DNB 889 N [063]</t>
      </is>
    </oc>
    <nc r="B87" t="inlineStr">
      <is>
        <t>DMY 821 L</t>
      </is>
    </nc>
  </rcc>
  <rfmt sheetId="6" sqref="K87">
    <dxf>
      <fill>
        <patternFill>
          <bgColor rgb="FF7030A0"/>
        </patternFill>
      </fill>
    </dxf>
  </rfmt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2" sId="6">
    <oc r="A97" t="inlineStr">
      <is>
        <t>BOMAG</t>
      </is>
    </oc>
    <nc r="A97" t="inlineStr">
      <is>
        <t>BOMAG DMS578N</t>
      </is>
    </nc>
  </rcc>
  <rcc rId="4113" sId="6">
    <oc r="B97" t="inlineStr">
      <is>
        <t>DMS 578 N [063]</t>
      </is>
    </oc>
    <nc r="B97" t="inlineStr">
      <is>
        <t>DMY 578 L</t>
      </is>
    </nc>
  </rcc>
  <rfmt sheetId="6" sqref="K97">
    <dxf>
      <fill>
        <patternFill>
          <bgColor rgb="FF7030A0"/>
        </patternFill>
      </fill>
    </dxf>
  </rfmt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4" sId="6">
    <oc r="B97" t="inlineStr">
      <is>
        <t>DMY 578 L</t>
      </is>
    </oc>
    <nc r="B97" t="inlineStr">
      <is>
        <t>DMY 716 L</t>
      </is>
    </nc>
  </rcc>
</revisions>
</file>

<file path=xl/revisions/revisionLog1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5" sId="5">
    <oc r="A88" t="inlineStr">
      <is>
        <t>HERSOFAM</t>
      </is>
    </oc>
    <nc r="A88" t="inlineStr">
      <is>
        <t>HERSOFAM DNB893N</t>
      </is>
    </nc>
  </rcc>
  <rcc rId="4116" sId="5">
    <oc r="B88" t="inlineStr">
      <is>
        <t>DNB 893 N</t>
      </is>
    </oc>
    <nc r="B88" t="inlineStr">
      <is>
        <t>DDMY 773 L</t>
      </is>
    </nc>
  </rcc>
  <rfmt sheetId="5" sqref="K88">
    <dxf>
      <fill>
        <patternFill>
          <bgColor rgb="FF7030A0"/>
        </patternFill>
      </fill>
    </dxf>
  </rfmt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7" sId="5">
    <oc r="B88" t="inlineStr">
      <is>
        <t>DDMY 773 L</t>
      </is>
    </oc>
    <nc r="B88" t="inlineStr">
      <is>
        <t>DMY 773 L</t>
      </is>
    </nc>
  </rcc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8" sId="4">
    <oc r="B46" t="inlineStr">
      <is>
        <t>LAWNMOWER TRAIL</t>
      </is>
    </oc>
    <nc r="B46" t="inlineStr">
      <is>
        <t>LAWNMOWER TRAIL DMS582N</t>
      </is>
    </nc>
  </rcc>
  <rcc rId="4119" sId="4">
    <oc r="A46" t="inlineStr">
      <is>
        <t>DMS 582 N</t>
      </is>
    </oc>
    <nc r="A46" t="inlineStr">
      <is>
        <t>DMY 820 L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29:C29">
    <dxf>
      <fill>
        <patternFill patternType="solid">
          <bgColor rgb="FFFFFF00"/>
        </patternFill>
      </fill>
    </dxf>
  </rfmt>
  <rfmt sheetId="5" sqref="A17:C17">
    <dxf>
      <fill>
        <patternFill patternType="solid">
          <bgColor rgb="FFFFFF00"/>
        </patternFill>
      </fill>
    </dxf>
  </rfmt>
</revisions>
</file>

<file path=xl/revisions/revisionLog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20" sId="6">
    <oc r="A92" t="inlineStr">
      <is>
        <t>VERMEER 620 BC</t>
      </is>
    </oc>
    <nc r="A92" t="inlineStr">
      <is>
        <t>VERMEER 620 BC DNP901N</t>
      </is>
    </nc>
  </rcc>
  <rcc rId="4121" sId="6">
    <oc r="B92" t="inlineStr">
      <is>
        <t>DNP 901 N [063]</t>
      </is>
    </oc>
    <nc r="B92" t="inlineStr">
      <is>
        <t>DTL 421 L</t>
      </is>
    </nc>
  </rcc>
  <rfmt sheetId="6" sqref="K92">
    <dxf>
      <fill>
        <patternFill>
          <bgColor rgb="FF7030A0"/>
        </patternFill>
      </fill>
    </dxf>
  </rfmt>
</revisions>
</file>

<file path=xl/revisions/revisionLog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K46">
    <dxf>
      <fill>
        <patternFill>
          <bgColor rgb="FF7030A0"/>
        </patternFill>
      </fill>
    </dxf>
  </rfmt>
  <rcc rId="4122" sId="4">
    <oc r="A45" t="inlineStr">
      <is>
        <t>DMY  822 L</t>
      </is>
    </oc>
    <nc r="A45" t="inlineStr">
      <is>
        <t>DMY 822 L</t>
      </is>
    </nc>
  </rcc>
</revisions>
</file>

<file path=xl/revisions/revisionLog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23" sId="5">
    <oc r="A89" t="inlineStr">
      <is>
        <t>VENTER ELITE</t>
      </is>
    </oc>
    <nc r="A89" t="inlineStr">
      <is>
        <t>VENTER ELITE DLV309N</t>
      </is>
    </nc>
  </rcc>
  <rfmt sheetId="5" sqref="K89">
    <dxf>
      <fill>
        <patternFill>
          <bgColor rgb="FF7030A0"/>
        </patternFill>
      </fill>
    </dxf>
  </rfmt>
  <rcc rId="4124" sId="5">
    <oc r="B89" t="inlineStr">
      <is>
        <t>DLV 309 N</t>
      </is>
    </oc>
    <nc r="B89" t="inlineStr">
      <is>
        <t>DMY 774 L</t>
      </is>
    </nc>
  </rcc>
  <rcc rId="4125" sId="5">
    <oc r="A90" t="inlineStr">
      <is>
        <t>VENTER TRAILER</t>
      </is>
    </oc>
    <nc r="A90" t="inlineStr">
      <is>
        <t>VENTER TRAILER DLV304N</t>
      </is>
    </nc>
  </rcc>
  <rcc rId="4126" sId="5">
    <oc r="B90" t="inlineStr">
      <is>
        <t>DLV 304 N</t>
      </is>
    </oc>
    <nc r="B90" t="inlineStr">
      <is>
        <t>DMY 775 L</t>
      </is>
    </nc>
  </rcc>
  <rfmt sheetId="5" sqref="K90">
    <dxf>
      <fill>
        <patternFill>
          <bgColor rgb="FF7030A0"/>
        </patternFill>
      </fill>
    </dxf>
  </rfmt>
</revisions>
</file>

<file path=xl/revisions/revisionLog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27" sId="5">
    <nc r="B41">
      <f>'1-10'!R35</f>
    </nc>
  </rcc>
  <rcc rId="4128" sId="5">
    <oc r="C41" t="inlineStr">
      <is>
        <t>640</t>
      </is>
    </oc>
    <nc r="C41" t="inlineStr">
      <is>
        <t>634</t>
      </is>
    </nc>
  </rcc>
  <rfmt sheetId="5" sqref="K41" start="0" length="2147483647">
    <dxf>
      <font>
        <color rgb="FFFF0000"/>
      </font>
    </dxf>
  </rfmt>
  <rfmt sheetId="5" sqref="K41">
    <dxf>
      <fill>
        <patternFill>
          <bgColor rgb="FFFF0000"/>
        </patternFill>
      </fill>
    </dxf>
  </rfmt>
</revisions>
</file>

<file path=xl/revisions/revisionLog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29" sId="9">
    <nc r="F13" t="inlineStr">
      <is>
        <t>increase Licence</t>
      </is>
    </nc>
  </rcc>
  <rcc rId="4130" sId="9">
    <nc r="F14" t="inlineStr">
      <is>
        <t>Generral increase treasury.</t>
      </is>
    </nc>
  </rcc>
  <rfmt sheetId="9" sqref="B13:B14">
    <dxf>
      <numFmt numFmtId="14" formatCode="0.00%"/>
    </dxf>
  </rfmt>
  <rcc rId="4131" sId="9" numFmtId="14">
    <nc r="B13">
      <v>4.9000000000000002E-2</v>
    </nc>
  </rcc>
  <rcc rId="4132" sId="9" numFmtId="14">
    <nc r="B14">
      <v>4.9000000000000002E-2</v>
    </nc>
  </rcc>
  <rrc rId="4133" sId="9" eol="1" ref="A15:XFD15" action="insertRow"/>
  <rcc rId="4134" sId="9">
    <nc r="F15" t="inlineStr">
      <is>
        <t>Eskaltion tracking device</t>
      </is>
    </nc>
  </rcc>
  <rfmt sheetId="9" sqref="B15">
    <dxf>
      <numFmt numFmtId="14" formatCode="0.00%"/>
    </dxf>
  </rfmt>
  <rcc rId="4135" sId="9" numFmtId="14">
    <nc r="B15">
      <v>0.1</v>
    </nc>
  </rcc>
  <rcc rId="4136" sId="1">
    <oc r="H8">
      <f>58000</f>
    </oc>
    <nc r="H8">
      <f>58000*(1+CALC!B14)</f>
    </nc>
  </rcc>
  <rcc rId="4137" sId="1">
    <nc r="F9">
      <f>3000*(CALC!$A$4)</f>
    </nc>
  </rcc>
  <rcc rId="4138" sId="1">
    <oc r="F8">
      <f>250*12</f>
    </oc>
    <nc r="F8">
      <f>250*12*(1+CALC!$B$15)</f>
    </nc>
  </rcc>
  <rcc rId="4139" sId="1">
    <oc r="F9">
      <v>3000</v>
    </oc>
    <nc r="F9">
      <f>3000*(1+CALC!$B$15)</f>
    </nc>
  </rcc>
  <rcc rId="4140" sId="1" numFmtId="34">
    <oc r="F15">
      <v>23400</v>
    </oc>
    <nc r="F15">
      <f>23400*(1+CALC!$B$15)</f>
    </nc>
  </rcc>
  <rcc rId="4141" sId="1" numFmtId="34">
    <oc r="F16">
      <v>23400</v>
    </oc>
    <nc r="F16">
      <f>23400*(1+CALC!$B$15)</f>
    </nc>
  </rcc>
  <rcc rId="4142" sId="1" numFmtId="34">
    <oc r="F22">
      <v>23400</v>
    </oc>
    <nc r="F22">
      <f>23400*(1+CALC!$B$15)</f>
    </nc>
  </rcc>
  <rcc rId="4143" sId="1" numFmtId="34">
    <oc r="F28">
      <v>23400</v>
    </oc>
    <nc r="F28">
      <f>23400*(1+CALC!$B$15)</f>
    </nc>
  </rcc>
  <rcc rId="4144" sId="1" numFmtId="34">
    <oc r="F34">
      <v>23400</v>
    </oc>
    <nc r="F34">
      <f>23400*(1+CALC!$B$15)</f>
    </nc>
  </rcc>
  <rcc rId="4145" sId="2" numFmtId="34">
    <oc r="F9">
      <v>23400</v>
    </oc>
    <nc r="F9">
      <f>23400*(1+CALC!$B$15)</f>
    </nc>
  </rcc>
  <rcc rId="4146" sId="2" numFmtId="34">
    <oc r="F10">
      <v>23400</v>
    </oc>
    <nc r="F10">
      <f>23400*(1+CALC!$B$15)</f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SERV'!$A$1:$Q$103</formula>
    <oldFormula>'COMMUNITY SERV'!$A$1:$Q$103</oldFormula>
  </rdn>
  <rdn rId="0" localSheetId="5" customView="1" name="Z_DF69299D_7752_4436_A45D_28F739CEE21B_.wvu.PrintArea" hidden="1" oldHidden="1">
    <formula>EEM!$A$1:$Q$107</formula>
    <oldFormula>EEM!$A$1:$Q$107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MDC!$A$1:$Q$99</formula>
    <oldFormula>MDC!$A$1:$Q$99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71" sId="6" numFmtId="4">
    <oc r="D66">
      <v>1000</v>
    </oc>
    <nc r="D66">
      <v>600</v>
    </nc>
  </rcc>
  <rcc rId="4172" sId="6" numFmtId="4">
    <oc r="D67">
      <v>1000</v>
    </oc>
    <nc r="D67">
      <v>600</v>
    </nc>
  </rcc>
  <rcc rId="4173" sId="1">
    <oc r="A1" t="inlineStr">
      <is>
        <t>VEHICLE BUDGET 2021-2022</t>
      </is>
    </oc>
    <nc r="A1" t="inlineStr">
      <is>
        <t>VEHICLE BUDGET 2024-2025</t>
      </is>
    </nc>
  </rcc>
  <rcc rId="4174" sId="2">
    <oc r="A1" t="inlineStr">
      <is>
        <t>VEHICLE BUDGET 2021-2022</t>
      </is>
    </oc>
    <nc r="A1" t="inlineStr">
      <is>
        <t>VEHICLE BUDGET 2024-2025</t>
      </is>
    </nc>
  </rcc>
  <rcc rId="4175" sId="3">
    <oc r="A1" t="inlineStr">
      <is>
        <t>VEHICLE BUDGET 2021-2022</t>
      </is>
    </oc>
    <nc r="A1" t="inlineStr">
      <is>
        <t>VEHICLE BUDGET 2024-2025</t>
      </is>
    </nc>
  </rcc>
  <rcc rId="4176" sId="4">
    <oc r="A1" t="inlineStr">
      <is>
        <t>VEHICLE BUDGET 2021-2022</t>
      </is>
    </oc>
    <nc r="A1" t="inlineStr">
      <is>
        <t>VEHICLE BUDGET 2024-2025</t>
      </is>
    </nc>
  </rcc>
  <rcc rId="4177" sId="5">
    <oc r="A1" t="inlineStr">
      <is>
        <t>VEHICLE BUDGET 2021-2022</t>
      </is>
    </oc>
    <nc r="A1" t="inlineStr">
      <is>
        <t>VEHICLE BUDGET 2024-2025</t>
      </is>
    </nc>
  </rcc>
  <rcc rId="4178" sId="6">
    <oc r="A1" t="inlineStr">
      <is>
        <t>VEHICLE BUDGET 2021-2022</t>
      </is>
    </oc>
    <nc r="A1" t="inlineStr">
      <is>
        <t>VEHICLE BUDGET 2024-2025</t>
      </is>
    </nc>
  </rcc>
  <rcc rId="4179" sId="7">
    <oc r="A1" t="inlineStr">
      <is>
        <t>VEHICLE BUDGET 2021-2022</t>
      </is>
    </oc>
    <nc r="A1" t="inlineStr">
      <is>
        <t>VEHICLE BUDGET 2024-2025</t>
      </is>
    </nc>
  </rcc>
</revisions>
</file>

<file path=xl/revisions/revisionLog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80" sId="6" ref="A55:XFD56" action="insertRow">
    <undo index="65535" exp="area" ref3D="1" dr="$A$141:$XFD$141" dn="Z_DF69299D_7752_4436_A45D_28F739CEE21B_.wvu.Rows" sId="6"/>
    <undo index="65535" exp="area" ref3D="1" dr="$P$1:$P$1048576" dn="Z_DF69299D_7752_4436_A45D_28F739CEE21B_.wvu.Cols" sId="6"/>
    <undo index="65535" exp="area" ref3D="1" dr="$A$141:$XFD$141" dn="Z_6C0BD6A7_6718_429D_82D9_D2FE0341EA2C_.wvu.Rows" sId="6"/>
    <undo index="65535" exp="area" ref3D="1" dr="$A$141:$XFD$141" dn="Z_594C4AB0_8D5F_4373_9663_410F4413FE3A_.wvu.Rows" sId="6"/>
  </rrc>
  <rcc rId="4181" sId="6" odxf="1" dxf="1">
    <nc r="B55" t="inlineStr">
      <is>
        <t>HDP 509 L</t>
      </is>
    </nc>
    <odxf>
      <font>
        <sz val="8"/>
        <name val="Consolas"/>
        <family val="3"/>
      </font>
      <fill>
        <patternFill>
          <bgColor rgb="FFFFFF00"/>
        </patternFill>
      </fill>
    </odxf>
    <ndxf>
      <font>
        <sz val="10"/>
        <color auto="1"/>
        <name val="Arial"/>
        <family val="3"/>
        <scheme val="none"/>
      </font>
      <fill>
        <patternFill>
          <bgColor rgb="FFFF0000"/>
        </patternFill>
      </fill>
    </ndxf>
  </rcc>
  <rcc rId="4182" sId="6" odxf="1" dxf="1">
    <nc r="B56" t="inlineStr">
      <is>
        <t>HDP 506 L</t>
      </is>
    </nc>
    <odxf>
      <font>
        <sz val="8"/>
        <name val="Consolas"/>
        <family val="3"/>
      </font>
      <fill>
        <patternFill>
          <bgColor rgb="FFFFFF00"/>
        </patternFill>
      </fill>
    </odxf>
    <ndxf>
      <font>
        <sz val="10"/>
        <color auto="1"/>
        <name val="Arial"/>
        <family val="3"/>
        <scheme val="none"/>
      </font>
      <fill>
        <patternFill>
          <bgColor rgb="FFFF0000"/>
        </patternFill>
      </fill>
    </ndxf>
  </rcc>
  <rcc rId="4183" sId="6">
    <nc r="A55" t="inlineStr">
      <is>
        <t>KomatsuGrader</t>
      </is>
    </nc>
  </rcc>
  <rcc rId="4184" sId="6">
    <nc r="A56" t="inlineStr">
      <is>
        <t>KomatsuGrader</t>
      </is>
    </nc>
  </rcc>
  <rcc rId="4185" sId="6" numFmtId="34">
    <nc r="K55">
      <v>300</v>
    </nc>
  </rcc>
  <rcc rId="4186" sId="6" numFmtId="34">
    <nc r="K56">
      <v>300</v>
    </nc>
  </rcc>
  <rcc rId="4187" sId="6" numFmtId="34">
    <nc r="H55">
      <v>300000</v>
    </nc>
  </rcc>
  <rcc rId="4188" sId="6" numFmtId="34">
    <nc r="H56">
      <v>300000</v>
    </nc>
  </rcc>
  <rcc rId="4189" sId="6" numFmtId="34">
    <nc r="F55">
      <v>23400</v>
    </nc>
  </rcc>
  <rcc rId="4190" sId="6" numFmtId="34">
    <nc r="F56">
      <v>23400</v>
    </nc>
  </rcc>
  <rcc rId="4191" sId="6" numFmtId="4">
    <nc r="D55">
      <v>1500</v>
    </nc>
  </rcc>
  <rcc rId="4192" sId="6" numFmtId="4">
    <nc r="D56">
      <v>1500</v>
    </nc>
  </rcc>
  <rcc rId="4193" sId="6" numFmtId="34">
    <nc r="E55">
      <v>300000</v>
    </nc>
  </rcc>
  <rcc rId="4194" sId="6" numFmtId="34">
    <nc r="E56">
      <v>300000</v>
    </nc>
  </rcc>
</revisions>
</file>

<file path=xl/revisions/revisionLog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95" sId="5">
    <oc r="A37">
      <f>+'1-10'!C37</f>
    </oc>
    <nc r="A37" t="inlineStr">
      <is>
        <t>Toyota Land Cruiser</t>
      </is>
    </nc>
  </rcc>
  <rcc rId="4196" sId="5">
    <oc r="A38">
      <f>+'1-10'!C38</f>
    </oc>
    <nc r="A38" t="inlineStr">
      <is>
        <t>Toyota Land Cruiser</t>
      </is>
    </nc>
  </rcc>
  <rcc rId="4197" sId="5">
    <oc r="C37" t="inlineStr">
      <is>
        <t>636</t>
      </is>
    </oc>
    <nc r="C37"/>
  </rcc>
  <rcc rId="4198" sId="5">
    <oc r="C38" t="inlineStr">
      <is>
        <t>637</t>
      </is>
    </oc>
    <nc r="C38"/>
  </rcc>
  <rcc rId="4199" sId="5" odxf="1" dxf="1">
    <oc r="B37">
      <f>+'1-10'!R37</f>
    </oc>
    <nc r="B37" t="inlineStr">
      <is>
        <t>FZP 282 L</t>
      </is>
    </nc>
    <odxf>
      <font>
        <sz val="8"/>
        <color rgb="FFFF0000"/>
        <name val="Consolas"/>
        <family val="3"/>
      </font>
      <fill>
        <patternFill>
          <bgColor rgb="FFFFC000"/>
        </patternFill>
      </fill>
      <alignment horizontal="left" vertical="top"/>
    </odxf>
    <ndxf>
      <font>
        <sz val="10"/>
        <color auto="1"/>
        <name val="Arial"/>
        <family val="3"/>
        <scheme val="none"/>
      </font>
      <fill>
        <patternFill>
          <bgColor rgb="FFFF0000"/>
        </patternFill>
      </fill>
      <alignment horizontal="general" vertical="bottom"/>
    </ndxf>
  </rcc>
  <rcc rId="4200" sId="5" odxf="1" dxf="1">
    <oc r="B38">
      <f>+'1-10'!R38</f>
    </oc>
    <nc r="B38" t="inlineStr">
      <is>
        <t>FZP 278 L</t>
      </is>
    </nc>
    <odxf>
      <font>
        <sz val="8"/>
        <name val="Consolas"/>
        <family val="3"/>
      </font>
      <fill>
        <patternFill>
          <bgColor rgb="FFFFC000"/>
        </patternFill>
      </fill>
      <alignment horizontal="left" vertical="top"/>
    </odxf>
    <ndxf>
      <font>
        <sz val="10"/>
        <color auto="1"/>
        <name val="Arial"/>
        <family val="3"/>
        <scheme val="none"/>
      </font>
      <fill>
        <patternFill>
          <bgColor rgb="FFFF0000"/>
        </patternFill>
      </fill>
      <alignment horizontal="general" vertical="bottom"/>
    </ndxf>
  </rcc>
  <rcc rId="4201" sId="5" numFmtId="4">
    <oc r="D37">
      <v>0</v>
    </oc>
    <nc r="D37">
      <v>25000</v>
    </nc>
  </rcc>
  <rcc rId="4202" sId="5" numFmtId="4">
    <oc r="D38">
      <v>0</v>
    </oc>
    <nc r="D38">
      <v>25000</v>
    </nc>
  </rcc>
  <rcc rId="4203" sId="5" odxf="1" dxf="1" numFmtId="34">
    <oc r="E37">
      <v>0</v>
    </oc>
    <nc r="E37">
      <f>+D37/P37*(CALC!$A$4)</f>
    </nc>
    <odxf>
      <font>
        <sz val="8"/>
        <name val="Consolas"/>
        <family val="3"/>
      </font>
      <fill>
        <patternFill patternType="none">
          <bgColor indexed="65"/>
        </patternFill>
      </fill>
    </odxf>
    <ndxf>
      <font>
        <sz val="8"/>
        <color rgb="FFFF0000"/>
        <name val="Consolas"/>
        <family val="3"/>
      </font>
      <fill>
        <patternFill patternType="solid">
          <bgColor rgb="FF00B0F0"/>
        </patternFill>
      </fill>
    </ndxf>
  </rcc>
  <rcc rId="4204" sId="5" odxf="1" dxf="1" numFmtId="34">
    <oc r="F37">
      <v>0</v>
    </oc>
    <nc r="F37">
      <v>23400</v>
    </nc>
    <odxf>
      <font>
        <sz val="8"/>
        <color rgb="FFFF0000"/>
        <name val="Consolas"/>
        <family val="3"/>
      </font>
    </odxf>
    <ndxf>
      <font>
        <sz val="8"/>
        <color rgb="FFFF0000"/>
        <name val="Consolas"/>
        <family val="3"/>
      </font>
    </ndxf>
  </rcc>
  <rcc rId="4205" sId="5" numFmtId="34">
    <oc r="F38">
      <v>0</v>
    </oc>
    <nc r="F38">
      <v>23400</v>
    </nc>
  </rcc>
  <rcc rId="4206" sId="5" odxf="1" dxf="1" numFmtId="34">
    <oc r="K37">
      <v>0</v>
    </oc>
    <nc r="K37">
      <f>678*1.06</f>
    </nc>
    <odxf>
      <font>
        <sz val="8"/>
        <name val="Consolas"/>
        <family val="3"/>
      </font>
      <fill>
        <patternFill patternType="none">
          <bgColor indexed="65"/>
        </patternFill>
      </fill>
    </odxf>
    <ndxf>
      <font>
        <sz val="8"/>
        <color rgb="FFFF0000"/>
        <name val="Consolas"/>
        <family val="3"/>
      </font>
      <fill>
        <patternFill patternType="solid">
          <bgColor rgb="FF7030A0"/>
        </patternFill>
      </fill>
    </ndxf>
  </rcc>
  <rcc rId="4207" sId="5" odxf="1" dxf="1" numFmtId="34">
    <oc r="K38">
      <v>0</v>
    </oc>
    <nc r="K38">
      <f>678*1.06</f>
    </nc>
    <odxf>
      <font>
        <sz val="8"/>
        <name val="Consolas"/>
        <family val="3"/>
      </font>
      <fill>
        <patternFill patternType="none">
          <bgColor indexed="65"/>
        </patternFill>
      </fill>
    </odxf>
    <ndxf>
      <font>
        <sz val="8"/>
        <color rgb="FFFF0000"/>
        <name val="Consolas"/>
        <family val="3"/>
      </font>
      <fill>
        <patternFill patternType="solid">
          <bgColor rgb="FF7030A0"/>
        </patternFill>
      </fill>
    </ndxf>
  </rcc>
</revisions>
</file>

<file path=xl/revisions/revisionLog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08" sId="5" numFmtId="34">
    <oc r="H37">
      <v>0</v>
    </oc>
    <nc r="H37">
      <v>30000</v>
    </nc>
  </rcc>
  <rcc rId="4209" sId="5" odxf="1" dxf="1" numFmtId="34">
    <oc r="H38">
      <v>0</v>
    </oc>
    <nc r="H38">
      <v>30000</v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</revisions>
</file>

<file path=xl/revisions/revisionLog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0" sId="1" odxf="1" dxf="1">
    <nc r="A35" t="inlineStr">
      <is>
        <t>FORTUNER</t>
      </is>
    </nc>
    <odxf>
      <font>
        <sz val="8"/>
        <name val="Consolas"/>
        <family val="3"/>
      </font>
    </odxf>
    <ndxf>
      <font>
        <sz val="10"/>
        <color auto="1"/>
        <name val="Arial"/>
        <family val="3"/>
        <scheme val="none"/>
      </font>
    </ndxf>
  </rcc>
  <rcc rId="4211" sId="1" odxf="1" dxf="1">
    <nc r="B35" t="inlineStr">
      <is>
        <t>FYV 164 L</t>
      </is>
    </nc>
    <odxf>
      <font>
        <sz val="8"/>
        <name val="Consolas"/>
        <family val="3"/>
      </font>
      <fill>
        <patternFill patternType="none">
          <bgColor indexed="65"/>
        </patternFill>
      </fill>
    </odxf>
    <ndxf>
      <font>
        <sz val="10"/>
        <color auto="1"/>
        <name val="Arial"/>
        <family val="3"/>
        <scheme val="none"/>
      </font>
      <fill>
        <patternFill patternType="solid">
          <bgColor rgb="FFFF0000"/>
        </patternFill>
      </fill>
    </ndxf>
  </rcc>
  <rcc rId="4212" sId="1" numFmtId="4">
    <nc r="D35">
      <v>38000</v>
    </nc>
  </rcc>
  <rcc rId="4213" sId="1" odxf="1" dxf="1">
    <nc r="E35">
      <f>+D35/P35*(CALC!$A$4)</f>
    </nc>
    <ndxf>
      <fill>
        <patternFill patternType="solid">
          <bgColor rgb="FF00B0F0"/>
        </patternFill>
      </fill>
    </ndxf>
  </rcc>
  <rcc rId="4214" sId="1" numFmtId="4">
    <oc r="D34">
      <v>38000</v>
    </oc>
    <nc r="D34">
      <v>4000</v>
    </nc>
  </rcc>
  <rcc rId="4215" sId="1" numFmtId="34">
    <nc r="E35">
      <v>80000</v>
    </nc>
  </rcc>
  <rcc rId="4216" sId="1" odxf="1" dxf="1">
    <nc r="F35">
      <f>23400*(1+CALC!$B$15)</f>
    </nc>
    <odxf/>
    <ndxf/>
  </rcc>
  <rcc rId="4217" sId="1" odxf="1" dxf="1" numFmtId="34">
    <nc r="H35">
      <v>50000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18" sId="1" numFmtId="34">
    <oc r="H34">
      <v>50000</v>
    </oc>
    <nc r="H34">
      <v>5000</v>
    </nc>
  </rcc>
  <rcc rId="4219" sId="1" odxf="1" dxf="1">
    <nc r="K35">
      <f>1110*1.06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  <rcc rId="4220" sId="1" odxf="1" dxf="1">
    <nc r="B29" t="inlineStr">
      <is>
        <t>FYR 284 L</t>
      </is>
    </nc>
    <odxf>
      <font>
        <sz val="8"/>
        <name val="Consolas"/>
        <family val="3"/>
      </font>
      <fill>
        <patternFill patternType="none">
          <bgColor indexed="65"/>
        </patternFill>
      </fill>
    </odxf>
    <ndxf>
      <font>
        <sz val="10"/>
        <color auto="1"/>
        <name val="Arial"/>
        <family val="3"/>
        <scheme val="none"/>
      </font>
      <fill>
        <patternFill patternType="solid">
          <bgColor rgb="FFFF0000"/>
        </patternFill>
      </fill>
    </ndxf>
  </rcc>
  <rcc rId="4221" sId="1" odxf="1" dxf="1">
    <nc r="A29" t="inlineStr">
      <is>
        <t>VOLKSWAGEN</t>
      </is>
    </nc>
    <odxf>
      <font>
        <sz val="8"/>
        <name val="Consolas"/>
        <family val="3"/>
      </font>
    </odxf>
    <ndxf>
      <font>
        <sz val="10"/>
        <color auto="1"/>
        <name val="Arial"/>
        <family val="3"/>
        <scheme val="none"/>
      </font>
    </ndxf>
  </rcc>
  <rcc rId="4222" sId="1" numFmtId="4">
    <nc r="D29">
      <v>25000</v>
    </nc>
  </rcc>
  <rfmt sheetId="1" sqref="E29" start="0" length="0">
    <dxf>
      <fill>
        <patternFill patternType="solid">
          <bgColor theme="6"/>
        </patternFill>
      </fill>
    </dxf>
  </rfmt>
  <rcc rId="4223" sId="1" numFmtId="34">
    <nc r="E29">
      <v>80000</v>
    </nc>
  </rcc>
  <rcc rId="4224" sId="1" odxf="1" dxf="1">
    <nc r="F29">
      <f>23400*(1+CALC!$B$15)</f>
    </nc>
    <odxf>
      <fill>
        <patternFill patternType="none">
          <bgColor indexed="65"/>
        </patternFill>
      </fill>
    </odxf>
    <ndxf>
      <fill>
        <patternFill patternType="solid">
          <bgColor theme="6"/>
        </patternFill>
      </fill>
    </ndxf>
  </rcc>
  <rcc rId="4225" sId="1" odxf="1" dxf="1">
    <nc r="K29">
      <f>1110*1.06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  <rcc rId="4226" sId="1" numFmtId="34">
    <nc r="H29">
      <v>25000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11:C11">
    <dxf>
      <fill>
        <patternFill patternType="solid">
          <bgColor rgb="FFFFFF00"/>
        </patternFill>
      </fill>
    </dxf>
  </rfmt>
  <rfmt sheetId="7" sqref="A39:C39">
    <dxf>
      <fill>
        <patternFill patternType="solid">
          <bgColor rgb="FFFFFF00"/>
        </patternFill>
      </fill>
    </dxf>
  </rfmt>
  <rfmt sheetId="7" sqref="A44:C44">
    <dxf>
      <fill>
        <patternFill patternType="solid">
          <bgColor rgb="FFFFFF00"/>
        </patternFill>
      </fill>
    </dxf>
  </rfmt>
  <rfmt sheetId="3" sqref="A15:C15">
    <dxf>
      <fill>
        <patternFill patternType="solid">
          <bgColor rgb="FFFFFF00"/>
        </patternFill>
      </fill>
    </dxf>
  </rfmt>
  <rfmt sheetId="3" sqref="A8:C8">
    <dxf>
      <fill>
        <patternFill patternType="solid">
          <bgColor rgb="FFFFFF00"/>
        </patternFill>
      </fill>
    </dxf>
  </rfmt>
  <rfmt sheetId="6" sqref="A22:C22">
    <dxf>
      <fill>
        <patternFill patternType="solid">
          <bgColor rgb="FFFFFF00"/>
        </patternFill>
      </fill>
    </dxf>
  </rfmt>
</revisions>
</file>

<file path=xl/revisions/revisionLog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27" sId="4" ref="A70:XFD71" action="insertRow"/>
  <rcc rId="4228" sId="4" odxf="1" dxf="1">
    <nc r="B70" t="inlineStr">
      <is>
        <t>FZL 973 L</t>
      </is>
    </nc>
    <odxf>
      <font>
        <sz val="8"/>
        <name val="Consolas"/>
        <family val="3"/>
      </font>
      <fill>
        <patternFill>
          <bgColor rgb="FFFFFF00"/>
        </patternFill>
      </fill>
    </odxf>
    <ndxf>
      <font>
        <sz val="10"/>
        <color auto="1"/>
        <name val="Arial"/>
        <family val="3"/>
        <scheme val="none"/>
      </font>
      <fill>
        <patternFill>
          <bgColor rgb="FFFF0000"/>
        </patternFill>
      </fill>
    </ndxf>
  </rcc>
  <rcc rId="4229" sId="4" odxf="1" dxf="1">
    <nc r="B71" t="inlineStr">
      <is>
        <t>HDH 837 L</t>
      </is>
    </nc>
    <odxf>
      <font>
        <sz val="8"/>
        <name val="Consolas"/>
        <family val="3"/>
      </font>
      <fill>
        <patternFill>
          <bgColor rgb="FFFFFF00"/>
        </patternFill>
      </fill>
    </odxf>
    <ndxf>
      <font>
        <sz val="10"/>
        <color auto="1"/>
        <name val="Arial"/>
        <family val="3"/>
        <scheme val="none"/>
      </font>
      <fill>
        <patternFill>
          <bgColor rgb="FFFF0000"/>
        </patternFill>
      </fill>
    </ndxf>
  </rcc>
  <rcc rId="4230" sId="4">
    <nc r="A70" t="inlineStr">
      <is>
        <t>UD 80 NISSAN</t>
      </is>
    </nc>
  </rcc>
  <rcc rId="4231" sId="4">
    <nc r="A71" t="inlineStr">
      <is>
        <t>UD 80 NISSAN</t>
      </is>
    </nc>
  </rcc>
  <rcc rId="4232" sId="4" numFmtId="4">
    <nc r="D70">
      <v>60000</v>
    </nc>
  </rcc>
  <rcc rId="4233" sId="4" numFmtId="4">
    <nc r="D71">
      <v>60000</v>
    </nc>
  </rcc>
  <rcc rId="4234" sId="4" numFmtId="34">
    <nc r="F70">
      <v>23400</v>
    </nc>
  </rcc>
  <rcc rId="4235" sId="4" numFmtId="34">
    <nc r="F71">
      <v>23400</v>
    </nc>
  </rcc>
  <rcc rId="4236" sId="4" numFmtId="34">
    <nc r="H70">
      <v>60000</v>
    </nc>
  </rcc>
  <rcc rId="4237" sId="4" numFmtId="34">
    <nc r="H71">
      <v>60000</v>
    </nc>
  </rcc>
  <rcc rId="4238" sId="4">
    <nc r="K70">
      <f>16680*1.06</f>
    </nc>
  </rcc>
  <rcc rId="4239" sId="4">
    <nc r="K71">
      <f>16680*1.06</f>
    </nc>
  </rcc>
  <rcc rId="4240" sId="4" numFmtId="34">
    <nc r="E70">
      <v>350000</v>
    </nc>
  </rcc>
  <rcc rId="4241" sId="4" numFmtId="34">
    <nc r="E71">
      <v>350000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C9">
    <dxf>
      <fill>
        <patternFill patternType="solid">
          <bgColor rgb="FFFFFF00"/>
        </patternFill>
      </fill>
    </dxf>
  </rfmt>
  <rfmt sheetId="1" sqref="A34:B34">
    <dxf>
      <fill>
        <patternFill patternType="solid">
          <bgColor rgb="FFFFFF00"/>
        </patternFill>
      </fill>
    </dxf>
  </rfmt>
  <rfmt sheetId="4" sqref="A13:C13">
    <dxf>
      <fill>
        <patternFill patternType="solid">
          <bgColor rgb="FFFFFF00"/>
        </patternFill>
      </fill>
    </dxf>
  </rfmt>
  <rfmt sheetId="4" sqref="A91:C91">
    <dxf>
      <fill>
        <patternFill patternType="solid">
          <bgColor rgb="FFFFFF00"/>
        </patternFill>
      </fill>
    </dxf>
  </rfmt>
  <rfmt sheetId="4" sqref="A89:C89">
    <dxf>
      <fill>
        <patternFill patternType="solid">
          <bgColor rgb="FFFFFF00"/>
        </patternFill>
      </fill>
    </dxf>
  </rfmt>
  <rfmt sheetId="4" sqref="A78:C78">
    <dxf>
      <fill>
        <patternFill patternType="solid">
          <bgColor rgb="FFFFFF00"/>
        </patternFill>
      </fill>
    </dxf>
  </rfmt>
  <rfmt sheetId="4" sqref="A82:C82">
    <dxf>
      <fill>
        <patternFill patternType="solid">
          <bgColor rgb="FFFFFF00"/>
        </patternFill>
      </fill>
    </dxf>
  </rfmt>
  <rfmt sheetId="4" sqref="A83:C83">
    <dxf>
      <fill>
        <patternFill patternType="solid">
          <bgColor rgb="FFFFFF00"/>
        </patternFill>
      </fill>
    </dxf>
  </rfmt>
  <rfmt sheetId="4" sqref="A79:C79">
    <dxf>
      <fill>
        <patternFill patternType="solid">
          <bgColor rgb="FFFFFF00"/>
        </patternFill>
      </fill>
    </dxf>
  </rfmt>
  <rfmt sheetId="4" sqref="A81:C81">
    <dxf>
      <fill>
        <patternFill patternType="solid">
          <bgColor rgb="FFFFFF00"/>
        </patternFill>
      </fill>
    </dxf>
  </rfmt>
  <rfmt sheetId="4" sqref="A80:C80">
    <dxf>
      <fill>
        <patternFill patternType="solid">
          <bgColor rgb="FFFFFF0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A8:C8">
    <dxf>
      <fill>
        <patternFill patternType="solid">
          <bgColor rgb="FFFFFF00"/>
        </patternFill>
      </fill>
    </dxf>
  </rfmt>
  <rfmt sheetId="6" sqref="A7:C7">
    <dxf>
      <fill>
        <patternFill patternType="solid">
          <bgColor rgb="FFFFFF00"/>
        </patternFill>
      </fill>
    </dxf>
  </rfmt>
  <rfmt sheetId="6" sqref="A29:C29">
    <dxf>
      <fill>
        <patternFill patternType="solid">
          <bgColor rgb="FFFFFF00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12:C12">
    <dxf>
      <fill>
        <patternFill patternType="solid">
          <bgColor rgb="FFFFFF0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5" sId="2" odxf="1" dxf="1">
    <nc r="A10">
      <f>+'1-10'!C26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B10" start="0" length="0">
    <dxf>
      <fill>
        <patternFill patternType="solid">
          <bgColor rgb="FFFFFF00"/>
        </patternFill>
      </fill>
    </dxf>
  </rfmt>
  <rcc rId="2776" sId="2" odxf="1" dxf="1">
    <nc r="C10">
      <v>624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777" sId="2" numFmtId="4">
    <nc r="D10">
      <v>60000</v>
    </nc>
  </rcc>
  <rcc rId="2778" sId="2" odxf="1" dxf="1">
    <nc r="E10">
      <f>+D10/P10*(CALC!$A$4)*1.1</f>
    </nc>
    <odxf/>
    <ndxf/>
  </rcc>
  <rcc rId="2779" sId="2" odxf="1" dxf="1" numFmtId="34">
    <nc r="F10">
      <v>3000</v>
    </nc>
    <odxf/>
    <ndxf/>
  </rcc>
  <rcc rId="2780" sId="2" odxf="1" dxf="1">
    <nc r="G10">
      <f>5482*(1+CALC!$A$2)</f>
    </nc>
    <odxf/>
    <ndxf/>
  </rcc>
  <rcc rId="2781" sId="2" odxf="1" dxf="1" numFmtId="34">
    <nc r="H10">
      <v>35000</v>
    </nc>
    <odxf/>
    <ndxf/>
  </rcc>
  <rcc rId="2782" sId="2" odxf="1" dxf="1" numFmtId="34">
    <oc r="I10">
      <v>0</v>
    </oc>
    <nc r="I10">
      <f>11166.61</f>
    </nc>
    <odxf/>
    <ndxf/>
  </rcc>
  <rfmt sheetId="2" sqref="J10" start="0" length="0">
    <dxf>
      <fill>
        <patternFill patternType="solid">
          <bgColor rgb="FFC00000"/>
        </patternFill>
      </fill>
    </dxf>
  </rfmt>
  <rcc rId="2783" sId="2" odxf="1" dxf="1" numFmtId="34">
    <nc r="K10">
      <v>960</v>
    </nc>
    <odxf/>
    <ndxf/>
  </rcc>
  <rfmt sheetId="2" sqref="L10" start="0" length="0">
    <dxf/>
  </rfmt>
  <rcc rId="2784" sId="2" odxf="1" dxf="1">
    <nc r="M10">
      <f>SUM(E10:L10)</f>
    </nc>
    <odxf/>
    <ndxf/>
  </rcc>
  <rcc rId="2785" sId="2" odxf="1" dxf="1">
    <nc r="N10">
      <f>M10/CALC!$A$8*CALC!$A$6</f>
    </nc>
    <odxf>
      <font>
        <b val="0"/>
        <sz val="8"/>
        <name val="Consolas"/>
        <family val="3"/>
      </font>
    </odxf>
    <ndxf>
      <font>
        <b/>
        <sz val="8"/>
        <name val="Consolas"/>
        <family val="3"/>
      </font>
    </ndxf>
  </rcc>
  <rcc rId="2786" sId="2" odxf="1" dxf="1">
    <nc r="O10">
      <f>+M10+N10</f>
    </nc>
    <odxf/>
    <ndxf/>
  </rcc>
  <rcc rId="2787" sId="2">
    <nc r="B10">
      <f>+'1-10'!R12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0:C10">
    <dxf>
      <fill>
        <patternFill patternType="solid">
          <bgColor rgb="FFFFFF00"/>
        </patternFill>
      </fill>
    </dxf>
  </rfmt>
  <rfmt sheetId="3" sqref="L10">
    <dxf>
      <fill>
        <patternFill patternType="solid">
          <bgColor rgb="FFC00000"/>
        </patternFill>
      </fill>
    </dxf>
  </rfmt>
  <rfmt sheetId="7" sqref="A15:C15">
    <dxf>
      <fill>
        <patternFill patternType="solid">
          <bgColor rgb="FFFFFF0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A194">
    <dxf>
      <fill>
        <patternFill patternType="solid">
          <bgColor rgb="FFFFFF00"/>
        </patternFill>
      </fill>
    </dxf>
  </rfmt>
  <rfmt sheetId="10" sqref="A196">
    <dxf>
      <fill>
        <patternFill patternType="solid">
          <bgColor rgb="FFFFFF00"/>
        </patternFill>
      </fill>
    </dxf>
  </rfmt>
  <rcc rId="2788" sId="7">
    <nc r="B77">
      <f>orig!A194</f>
    </nc>
  </rcc>
  <rcc rId="2789" sId="7">
    <nc r="B83">
      <f>orig!A196</f>
    </nc>
  </rcc>
  <rfmt sheetId="7" sqref="A77:C77">
    <dxf>
      <fill>
        <patternFill>
          <bgColor rgb="FFFFFF00"/>
        </patternFill>
      </fill>
    </dxf>
  </rfmt>
  <rfmt sheetId="7" sqref="A83:C83">
    <dxf>
      <fill>
        <patternFill>
          <bgColor rgb="FFFFFF0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0" sId="6">
    <nc r="B67">
      <f>orig!A68</f>
    </nc>
  </rcc>
  <rcc rId="2791" sId="10">
    <oc r="A68" t="inlineStr">
      <is>
        <t xml:space="preserve">DLV 286N </t>
      </is>
    </oc>
    <nc r="A68" t="inlineStr">
      <is>
        <t>DMY 716 L</t>
      </is>
    </nc>
  </rcc>
  <rcc rId="2792" sId="6">
    <nc r="A67" t="inlineStr">
      <is>
        <t>Bomag Roller</t>
      </is>
    </nc>
  </rcc>
  <rcc rId="2793" sId="6">
    <nc r="O67">
      <f>+M67+N67</f>
    </nc>
  </rcc>
  <rcc rId="2794" sId="6">
    <nc r="N67">
      <f>M67/CALC!$A$8*CALC!$A$6</f>
    </nc>
  </rcc>
  <rcc rId="2795" sId="6">
    <nc r="M67">
      <f>SUM(E67:L67)</f>
    </nc>
  </rcc>
  <rcc rId="2796" sId="6" numFmtId="34">
    <nc r="K67">
      <v>0</v>
    </nc>
  </rcc>
  <rcc rId="2797" sId="6" numFmtId="34">
    <nc r="I67">
      <v>169375.69</v>
    </nc>
  </rcc>
  <rcc rId="2798" sId="6">
    <nc r="H67">
      <f>115000</f>
    </nc>
  </rcc>
  <rcc rId="2799" sId="6">
    <nc r="G67">
      <f>33000*(1+CALC!$A$2)</f>
    </nc>
  </rcc>
  <rcc rId="2800" sId="6" numFmtId="34">
    <nc r="F67">
      <v>3000</v>
    </nc>
  </rcc>
  <rcc rId="2801" sId="6">
    <nc r="E67">
      <f>+D67/P67*(CALC!$A$4)</f>
    </nc>
  </rcc>
  <rcc rId="2802" sId="6" numFmtId="4">
    <nc r="D67">
      <v>1000</v>
    </nc>
  </rcc>
  <rcc rId="2803" sId="6">
    <nc r="C67">
      <v>692</v>
    </nc>
  </rcc>
  <rfmt sheetId="6" sqref="A6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2804" sId="6" ref="A67:XFD67" action="insertRow">
    <undo index="65535" exp="area" ref3D="1" dr="$A$140:$XFD$140" dn="Z_DF69299D_7752_4436_A45D_28F739CEE21B_.wvu.Rows" sId="6"/>
    <undo index="65535" exp="area" ref3D="1" dr="$A$140:$XFD$140" dn="Z_6C0BD6A7_6718_429D_82D9_D2FE0341EA2C_.wvu.Rows" sId="6"/>
    <undo index="65535" exp="area" ref3D="1" dr="$A$140:$XFD$140" dn="Z_594C4AB0_8D5F_4373_9663_410F4413FE3A_.wvu.Rows" sId="6"/>
    <undo index="65535" exp="area" ref3D="1" dr="$P$1:$P$1048576" dn="Z_DF69299D_7752_4436_A45D_28F739CEE21B_.wvu.Cols" sId="6"/>
  </rrc>
  <rrc rId="2805" sId="6" ref="A67:XFD67" action="deleteRow">
    <undo index="65535" exp="area" ref3D="1" dr="$A$141:$XFD$141" dn="Z_DF69299D_7752_4436_A45D_28F739CEE21B_.wvu.Rows" sId="6"/>
    <undo index="65535" exp="area" ref3D="1" dr="$A$141:$XFD$141" dn="Z_6C0BD6A7_6718_429D_82D9_D2FE0341EA2C_.wvu.Rows" sId="6"/>
    <undo index="65535" exp="area" ref3D="1" dr="$A$141:$XFD$141" dn="Z_594C4AB0_8D5F_4373_9663_410F4413FE3A_.wvu.Rows" sId="6"/>
    <undo index="65535" exp="area" ref3D="1" dr="$P$1:$P$1048576" dn="Z_DF69299D_7752_4436_A45D_28F739CEE21B_.wvu.Cols" sId="6"/>
    <rfmt sheetId="6" xfDxf="1" sqref="A67:XFD67" start="0" length="0">
      <dxf>
        <font>
          <sz val="8"/>
          <name val="Consolas"/>
          <family val="3"/>
        </font>
      </dxf>
    </rfmt>
    <rcc rId="0" sId="6" dxf="1">
      <nc r="A67" t="inlineStr">
        <is>
          <t>Bomag Roller</t>
        </is>
      </nc>
      <ndxf>
        <font>
          <sz val="7"/>
          <name val="Consolas"/>
          <family val="3"/>
        </font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67">
        <f>orig!A68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67">
        <v>692</v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 numFmtId="4">
      <nc r="D67">
        <v>1000</v>
      </nc>
      <ndxf>
        <numFmt numFmtId="167" formatCode="#,##0;[Red]#,##0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E67">
        <f>+D67/P67*(CALC!$A$4)</f>
      </nc>
      <ndxf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 numFmtId="34">
      <nc r="F67">
        <v>3000</v>
      </nc>
      <ndxf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G67">
        <f>33000*(1+CALC!$A$2)</f>
      </nc>
      <ndxf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H67">
        <f>115000</f>
      </nc>
      <ndxf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 numFmtId="34">
      <nc r="I67">
        <v>169375.69</v>
      </nc>
      <ndxf>
        <numFmt numFmtId="35" formatCode="_(* #,##0.00_);_(* \(#,##0.00\);_(* &quot;-&quot;??_);_(@_)"/>
        <fill>
          <patternFill patternType="solid">
            <bgColor rgb="FFFF00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="1" sqref="J67" start="0" length="0">
      <dxf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s="1" dxf="1" numFmtId="34">
      <nc r="K67">
        <v>0</v>
      </nc>
      <ndxf>
        <numFmt numFmtId="35" formatCode="_(* #,##0.00_);_(* \(#,##0.00\);_(* &quot;-&quot;??_);_(@_)"/>
        <fill>
          <patternFill patternType="solid">
            <bgColor theme="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="1" sqref="L67" start="0" length="0">
      <dxf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s="1" dxf="1">
      <nc r="M67">
        <f>SUM(E67:L67)</f>
      </nc>
      <ndxf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N67">
        <f>M67/CALC!$A$8*CALC!$A$6</f>
      </nc>
      <ndxf>
        <font>
          <b/>
          <sz val="8"/>
          <color auto="1"/>
          <name val="Consolas"/>
          <family val="3"/>
          <scheme val="none"/>
        </font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O67">
        <f>+M67+N67</f>
      </nc>
      <ndxf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="1" sqref="P67" start="0" length="0">
      <dxf>
        <numFmt numFmtId="35" formatCode="_(* #,##0.00_);_(* \(#,##0.00\);_(* &quot;-&quot;??_);_(@_)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6" s="1" sqref="Q67" start="0" length="0">
      <dxf>
        <numFmt numFmtId="35" formatCode="_(* #,##0.00_);_(* \(#,##0.00\);_(* &quot;-&quot;??_);_(@_)"/>
        <alignment horizontal="center"/>
      </dxf>
    </rfmt>
  </rrc>
  <rcc rId="2806" sId="2">
    <oc r="E10">
      <f>+D10/P10*(CALC!$A$4)*1.1</f>
    </oc>
    <nc r="E10">
      <f>+D10/P9*(CALC!$A$4)*1.1</f>
    </nc>
  </rcc>
  <rcc rId="2807" sId="6">
    <oc r="B88" t="inlineStr">
      <is>
        <t>DLV 286 N [063]</t>
      </is>
    </oc>
    <nc r="B88" t="inlineStr">
      <is>
        <t>DMY 716 L [063]</t>
      </is>
    </nc>
  </rcc>
  <rfmt sheetId="6" sqref="A88:C88">
    <dxf>
      <fill>
        <patternFill>
          <bgColor rgb="FFFFFF00"/>
        </patternFill>
      </fill>
    </dxf>
  </rfmt>
  <rcc rId="2808" sId="6" numFmtId="4">
    <oc r="D88">
      <v>0</v>
    </oc>
    <nc r="D88">
      <v>250</v>
    </nc>
  </rcc>
  <rcc rId="2809" sId="6" numFmtId="4">
    <oc r="D88">
      <v>0</v>
    </oc>
    <nc r="D88">
      <v>800</v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A65:B66">
    <dxf>
      <fill>
        <patternFill patternType="solid">
          <bgColor rgb="FFFFFF00"/>
        </patternFill>
      </fill>
    </dxf>
  </rfmt>
  <rcc rId="2834" sId="1" numFmtId="34">
    <oc r="F22">
      <v>3000</v>
    </oc>
    <nc r="F22">
      <v>23400</v>
    </nc>
  </rcc>
  <rcc rId="2835" sId="1" numFmtId="34">
    <oc r="F28">
      <v>3000</v>
    </oc>
    <nc r="F28">
      <v>0</v>
    </nc>
  </rcc>
  <rcc rId="2836" sId="1" numFmtId="4">
    <oc r="D28">
      <v>31380</v>
    </oc>
    <nc r="D28">
      <v>0</v>
    </nc>
  </rcc>
  <rcc rId="2837" sId="1" numFmtId="34">
    <oc r="G28">
      <v>50000</v>
    </oc>
    <nc r="G28">
      <v>0</v>
    </nc>
  </rcc>
  <rcc rId="2838" sId="1" numFmtId="34">
    <oc r="H28">
      <v>40000</v>
    </oc>
    <nc r="H28">
      <v>0</v>
    </nc>
  </rcc>
  <rcc rId="2839" sId="1" numFmtId="34">
    <oc r="I28">
      <v>200000</v>
    </oc>
    <nc r="I28">
      <v>0</v>
    </nc>
  </rcc>
  <rcc rId="2840" sId="1" numFmtId="34">
    <oc r="F34">
      <v>3000</v>
    </oc>
    <nc r="F34">
      <v>23400</v>
    </nc>
  </rcc>
  <rcc rId="2841" sId="1" numFmtId="34">
    <oc r="F15">
      <v>3000</v>
    </oc>
    <nc r="F15">
      <v>23400</v>
    </nc>
  </rcc>
  <rcc rId="2842" sId="1" numFmtId="34">
    <oc r="F16">
      <v>3000</v>
    </oc>
    <nc r="F16">
      <v>23400</v>
    </nc>
  </rcc>
  <rcc rId="2843" sId="2" numFmtId="34">
    <oc r="F9">
      <v>3000</v>
    </oc>
    <nc r="F9">
      <v>23400</v>
    </nc>
  </rcc>
  <rcc rId="2844" sId="2" numFmtId="34">
    <oc r="F10">
      <v>3000</v>
    </oc>
    <nc r="F10">
      <v>23400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5" sId="4" numFmtId="34">
    <oc r="F7">
      <v>3000</v>
    </oc>
    <nc r="F7">
      <v>23400</v>
    </nc>
  </rcc>
  <rcc rId="2846" sId="4" numFmtId="34">
    <oc r="F13">
      <v>3000</v>
    </oc>
    <nc r="F13">
      <v>23400</v>
    </nc>
  </rcc>
  <rcc rId="2847" sId="4" numFmtId="34">
    <oc r="F14">
      <v>3000</v>
    </oc>
    <nc r="F14">
      <v>23400</v>
    </nc>
  </rcc>
  <rcc rId="2848" sId="4" numFmtId="34">
    <oc r="F20">
      <v>3000</v>
    </oc>
    <nc r="F20">
      <v>23400</v>
    </nc>
  </rcc>
  <rcc rId="2849" sId="4" numFmtId="34">
    <oc r="F21">
      <v>3000</v>
    </oc>
    <nc r="F21">
      <v>23400</v>
    </nc>
  </rcc>
  <rcc rId="2850" sId="4" numFmtId="34">
    <oc r="F27">
      <v>3000</v>
    </oc>
    <nc r="F27">
      <v>23400</v>
    </nc>
  </rcc>
  <rcc rId="2851" sId="4" numFmtId="34">
    <oc r="F66">
      <v>3000</v>
    </oc>
    <nc r="F66">
      <v>23400</v>
    </nc>
  </rcc>
  <rcc rId="2852" sId="4" numFmtId="34">
    <oc r="F67">
      <v>3000</v>
    </oc>
    <nc r="F67">
      <v>23400</v>
    </nc>
  </rcc>
  <rcc rId="2853" sId="4" numFmtId="34">
    <oc r="F68">
      <v>3000</v>
    </oc>
    <nc r="F68">
      <v>23400</v>
    </nc>
  </rcc>
  <rcc rId="2854" sId="4" numFmtId="34">
    <oc r="F69">
      <v>3000</v>
    </oc>
    <nc r="F69">
      <v>23400</v>
    </nc>
  </rcc>
  <rcc rId="2855" sId="4" numFmtId="34">
    <oc r="F70">
      <v>3000</v>
    </oc>
    <nc r="F70">
      <v>23400</v>
    </nc>
  </rcc>
  <rcc rId="2856" sId="4" numFmtId="34">
    <oc r="F71">
      <v>3000</v>
    </oc>
    <nc r="F71">
      <v>23400</v>
    </nc>
  </rcc>
  <rcc rId="2857" sId="4" odxf="1" dxf="1" numFmtId="34">
    <oc r="F72">
      <v>3000</v>
    </oc>
    <nc r="F72">
      <v>23400</v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2858" sId="4" numFmtId="34">
    <oc r="F78">
      <v>3000</v>
    </oc>
    <nc r="F78">
      <v>23400</v>
    </nc>
  </rcc>
  <rcc rId="2859" sId="4" numFmtId="34">
    <oc r="F79">
      <v>3000</v>
    </oc>
    <nc r="F79">
      <v>23400</v>
    </nc>
  </rcc>
  <rcc rId="2860" sId="4" numFmtId="34">
    <oc r="F80">
      <v>3000</v>
    </oc>
    <nc r="F80">
      <v>23400</v>
    </nc>
  </rcc>
  <rcc rId="2861" sId="4" numFmtId="34">
    <oc r="F81">
      <v>3000</v>
    </oc>
    <nc r="F81">
      <v>23400</v>
    </nc>
  </rcc>
  <rcc rId="2862" sId="4" numFmtId="34">
    <oc r="F82">
      <v>3000</v>
    </oc>
    <nc r="F82">
      <v>23400</v>
    </nc>
  </rcc>
  <rcc rId="2863" sId="4" numFmtId="34">
    <oc r="F83">
      <v>3000</v>
    </oc>
    <nc r="F83">
      <v>23400</v>
    </nc>
  </rcc>
  <rcc rId="2864" sId="4" numFmtId="34">
    <oc r="F89">
      <v>3000</v>
    </oc>
    <nc r="F89">
      <v>23400</v>
    </nc>
  </rcc>
  <rcc rId="2865" sId="4" numFmtId="34">
    <oc r="F90">
      <v>3000</v>
    </oc>
    <nc r="F90">
      <v>23400</v>
    </nc>
  </rcc>
  <rcc rId="2866" sId="4" numFmtId="34">
    <oc r="F91">
      <v>3000</v>
    </oc>
    <nc r="F91">
      <v>23400</v>
    </nc>
  </rcc>
  <rcc rId="2867" sId="4" numFmtId="34">
    <oc r="F96">
      <v>3000</v>
    </oc>
    <nc r="F96">
      <v>23400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8" sId="5" numFmtId="34">
    <oc r="F7">
      <v>3000</v>
    </oc>
    <nc r="F7">
      <v>23400</v>
    </nc>
  </rcc>
  <rcc rId="2869" sId="5" numFmtId="34">
    <oc r="F13">
      <v>3000</v>
    </oc>
    <nc r="F13">
      <v>23400</v>
    </nc>
  </rcc>
  <rcc rId="2870" sId="5" numFmtId="34">
    <oc r="F14">
      <v>3000</v>
    </oc>
    <nc r="F14">
      <v>23400</v>
    </nc>
  </rcc>
  <rcc rId="2871" sId="5" numFmtId="34">
    <oc r="F15">
      <v>3000</v>
    </oc>
    <nc r="F15">
      <v>23400</v>
    </nc>
  </rcc>
  <rcc rId="2872" sId="5" numFmtId="34">
    <oc r="F16">
      <v>3000</v>
    </oc>
    <nc r="F16">
      <v>23400</v>
    </nc>
  </rcc>
  <rcc rId="2873" sId="5" numFmtId="34">
    <oc r="F17">
      <v>3000</v>
    </oc>
    <nc r="F17">
      <v>23400</v>
    </nc>
  </rcc>
  <rcc rId="2874" sId="5" numFmtId="34">
    <oc r="F18">
      <v>3000</v>
    </oc>
    <nc r="F18">
      <v>23400</v>
    </nc>
  </rcc>
  <rcc rId="2875" sId="5" numFmtId="34">
    <oc r="F19">
      <v>3000</v>
    </oc>
    <nc r="F19">
      <v>23400</v>
    </nc>
  </rcc>
  <rcc rId="2876" sId="5" numFmtId="34">
    <oc r="F20">
      <v>3000</v>
    </oc>
    <nc r="F20">
      <v>23400</v>
    </nc>
  </rcc>
  <rcc rId="2877" sId="5" numFmtId="34">
    <oc r="F21">
      <v>3000</v>
    </oc>
    <nc r="F21">
      <v>23400</v>
    </nc>
  </rcc>
  <rcc rId="2878" sId="5" numFmtId="34">
    <oc r="F22">
      <v>3000</v>
    </oc>
    <nc r="F22">
      <v>23400</v>
    </nc>
  </rcc>
  <rcc rId="2879" sId="5" numFmtId="34">
    <oc r="F31">
      <v>3000</v>
    </oc>
    <nc r="F31">
      <v>23400</v>
    </nc>
  </rcc>
  <rcc rId="2880" sId="5" odxf="1" dxf="1" numFmtId="34">
    <oc r="F32">
      <v>3000</v>
    </oc>
    <nc r="F32">
      <v>23400</v>
    </nc>
    <odxf>
      <font>
        <sz val="8"/>
        <color rgb="FFFF0000"/>
        <name val="Consolas"/>
        <family val="3"/>
      </font>
    </odxf>
    <ndxf>
      <font>
        <sz val="8"/>
        <color rgb="FFFF0000"/>
        <name val="Consolas"/>
        <family val="3"/>
      </font>
    </ndxf>
  </rcc>
  <rcc rId="2881" sId="5" numFmtId="34">
    <oc r="F39">
      <v>3000</v>
    </oc>
    <nc r="F39">
      <v>23400</v>
    </nc>
  </rcc>
  <rcc rId="2882" sId="5" numFmtId="34">
    <oc r="F40">
      <v>3000</v>
    </oc>
    <nc r="F40">
      <v>23400</v>
    </nc>
  </rcc>
  <rcc rId="2883" sId="5" numFmtId="34">
    <oc r="F47">
      <v>3000</v>
    </oc>
    <nc r="F47">
      <v>23400</v>
    </nc>
  </rcc>
  <rcc rId="2884" sId="5" numFmtId="34">
    <oc r="F66">
      <v>3000</v>
    </oc>
    <nc r="F66">
      <v>23400</v>
    </nc>
  </rcc>
  <rcc rId="2885" sId="5" numFmtId="34">
    <oc r="F67">
      <v>3000</v>
    </oc>
    <nc r="F67">
      <v>23400</v>
    </nc>
  </rcc>
  <rcc rId="2886" sId="5" numFmtId="34">
    <oc r="F73">
      <v>3000</v>
    </oc>
    <nc r="F73">
      <v>23400</v>
    </nc>
  </rcc>
  <rcc rId="2887" sId="5" numFmtId="34">
    <oc r="F74">
      <v>3000</v>
    </oc>
    <nc r="F74">
      <v>23400</v>
    </nc>
  </rcc>
  <rcc rId="2888" sId="5" numFmtId="34">
    <oc r="F80">
      <v>3000</v>
    </oc>
    <nc r="F80">
      <v>23400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9" sId="5" numFmtId="34">
    <oc r="F16">
      <v>23400</v>
    </oc>
    <nc r="F16">
      <v>3000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96:C96">
    <dxf>
      <fill>
        <patternFill patternType="solid">
          <bgColor rgb="FFFFFF00"/>
        </patternFill>
      </fill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0" sId="6" numFmtId="34">
    <oc r="F7">
      <v>3000</v>
    </oc>
    <nc r="F7">
      <v>23400</v>
    </nc>
  </rcc>
  <rcc rId="2891" sId="6" numFmtId="34">
    <oc r="F8">
      <v>3000</v>
    </oc>
    <nc r="F8">
      <v>23400</v>
    </nc>
  </rcc>
  <rcc rId="2892" sId="6" numFmtId="34">
    <oc r="F13">
      <v>3000</v>
    </oc>
    <nc r="F13">
      <v>23400</v>
    </nc>
  </rcc>
  <rcc rId="2893" sId="6" numFmtId="34">
    <oc r="F14">
      <v>3000</v>
    </oc>
    <nc r="F14">
      <v>23400</v>
    </nc>
  </rcc>
  <rcc rId="2894" sId="6" numFmtId="34">
    <oc r="F15">
      <v>3000</v>
    </oc>
    <nc r="F15">
      <v>23400</v>
    </nc>
  </rcc>
  <rcc rId="2895" sId="6" numFmtId="34">
    <oc r="F20">
      <v>3000</v>
    </oc>
    <nc r="F20">
      <v>23400</v>
    </nc>
  </rcc>
  <rcc rId="2896" sId="6" numFmtId="34">
    <oc r="F21">
      <v>3000</v>
    </oc>
    <nc r="F21">
      <v>23400</v>
    </nc>
  </rcc>
  <rcc rId="2897" sId="6" numFmtId="34">
    <oc r="F22">
      <v>3000</v>
    </oc>
    <nc r="F22">
      <v>23400</v>
    </nc>
  </rcc>
  <rcc rId="2898" sId="6" numFmtId="34">
    <oc r="F27">
      <v>3000</v>
    </oc>
    <nc r="F27">
      <v>23400</v>
    </nc>
  </rcc>
  <rcc rId="2899" sId="6" numFmtId="34">
    <oc r="F28">
      <v>3000</v>
    </oc>
    <nc r="F28">
      <v>23400</v>
    </nc>
  </rcc>
  <rcc rId="2900" sId="6" numFmtId="34">
    <oc r="F29">
      <v>3000</v>
    </oc>
    <nc r="F29">
      <v>23400</v>
    </nc>
  </rcc>
  <rcc rId="2901" sId="6" numFmtId="34">
    <oc r="F30">
      <v>3000</v>
    </oc>
    <nc r="F30">
      <v>23400</v>
    </nc>
  </rcc>
  <rcc rId="2902" sId="6" numFmtId="34">
    <oc r="F35">
      <v>3000</v>
    </oc>
    <nc r="F35">
      <v>23400</v>
    </nc>
  </rcc>
  <rcc rId="2903" sId="6" numFmtId="34">
    <oc r="F40">
      <v>3000</v>
    </oc>
    <nc r="F40">
      <v>23400</v>
    </nc>
  </rcc>
  <rcc rId="2904" sId="6" numFmtId="34">
    <oc r="F46">
      <v>3000</v>
    </oc>
    <nc r="F46">
      <v>23400</v>
    </nc>
  </rcc>
  <rcc rId="2905" sId="6" numFmtId="34">
    <oc r="F47">
      <v>3000</v>
    </oc>
    <nc r="F47">
      <v>23400</v>
    </nc>
  </rcc>
  <rcc rId="2906" sId="6" numFmtId="34">
    <oc r="F53">
      <v>3000</v>
    </oc>
    <nc r="F53">
      <v>23400</v>
    </nc>
  </rcc>
  <rcc rId="2907" sId="6" numFmtId="34">
    <oc r="F54">
      <v>3000</v>
    </oc>
    <nc r="F54">
      <v>23400</v>
    </nc>
  </rcc>
  <rcc rId="2908" sId="6" numFmtId="34">
    <oc r="F59">
      <v>3000</v>
    </oc>
    <nc r="F59">
      <v>23400</v>
    </nc>
  </rcc>
  <rcc rId="2909" sId="6" numFmtId="34">
    <oc r="F60">
      <v>3000</v>
    </oc>
    <nc r="F60">
      <v>23400</v>
    </nc>
  </rcc>
  <rcc rId="2910" sId="6" numFmtId="34">
    <oc r="F65">
      <v>3000</v>
    </oc>
    <nc r="F65">
      <v>23400</v>
    </nc>
  </rcc>
  <rcc rId="2911" sId="6" numFmtId="34">
    <oc r="F66">
      <v>3000</v>
    </oc>
    <nc r="F66">
      <v>23400</v>
    </nc>
  </rcc>
  <rcc rId="2912" sId="6" numFmtId="34">
    <oc r="F71">
      <v>3000</v>
    </oc>
    <nc r="F71">
      <v>23400</v>
    </nc>
  </rcc>
  <rcc rId="2913" sId="6" numFmtId="34">
    <oc r="F72">
      <v>3000</v>
    </oc>
    <nc r="F72">
      <v>23400</v>
    </nc>
  </rcc>
  <rcc rId="2914" sId="6" numFmtId="34">
    <oc r="F77">
      <v>3000</v>
    </oc>
    <nc r="F77">
      <v>23400</v>
    </nc>
  </rcc>
  <rcc rId="2915" sId="6" numFmtId="34">
    <oc r="F78">
      <v>3000</v>
    </oc>
    <nc r="F78">
      <v>23400</v>
    </nc>
  </rcc>
  <rcc rId="2916" sId="6" numFmtId="34">
    <oc r="F80">
      <v>3000</v>
    </oc>
    <nc r="F80">
      <v>23400</v>
    </nc>
  </rcc>
  <rcc rId="2917" sId="7" numFmtId="34">
    <oc r="F77">
      <v>3000</v>
    </oc>
    <nc r="F77">
      <v>23400</v>
    </nc>
  </rcc>
  <rcc rId="2918" sId="7" numFmtId="34">
    <oc r="F83">
      <v>3000</v>
    </oc>
    <nc r="F83">
      <v>23400</v>
    </nc>
  </rcc>
  <rcc rId="2919" sId="7" numFmtId="34">
    <oc r="F44">
      <v>3000</v>
    </oc>
    <nc r="F44">
      <v>23400</v>
    </nc>
  </rcc>
  <rcc rId="2920" sId="7" numFmtId="34">
    <oc r="F39">
      <v>3000</v>
    </oc>
    <nc r="F39">
      <v>23400</v>
    </nc>
  </rcc>
  <rcc rId="2921" sId="7" numFmtId="34">
    <oc r="F34">
      <v>3000</v>
    </oc>
    <nc r="F34">
      <v>23400</v>
    </nc>
  </rcc>
  <rcc rId="2922" sId="7" numFmtId="34">
    <oc r="F29">
      <v>3000</v>
    </oc>
    <nc r="F29">
      <v>23400</v>
    </nc>
  </rcc>
  <rcc rId="2923" sId="7" numFmtId="34">
    <oc r="F22">
      <v>3000</v>
    </oc>
    <nc r="F22">
      <v>23400</v>
    </nc>
  </rcc>
  <rcc rId="2924" sId="7" numFmtId="34">
    <oc r="F23">
      <v>3000</v>
    </oc>
    <nc r="F23">
      <v>23400</v>
    </nc>
  </rcc>
  <rcc rId="2925" sId="7" numFmtId="34">
    <oc r="F24">
      <v>3000</v>
    </oc>
    <nc r="F24">
      <v>23400</v>
    </nc>
  </rcc>
  <rcc rId="2926" sId="7" numFmtId="34">
    <oc r="F7">
      <v>3000</v>
    </oc>
    <nc r="F7">
      <v>23400</v>
    </nc>
  </rcc>
  <rcc rId="2927" sId="7" numFmtId="34">
    <oc r="F8">
      <v>3000</v>
    </oc>
    <nc r="F8">
      <v>23400</v>
    </nc>
  </rcc>
  <rcc rId="2928" sId="7" numFmtId="34">
    <oc r="F9">
      <v>3000</v>
    </oc>
    <nc r="F9">
      <v>23400</v>
    </nc>
  </rcc>
  <rcc rId="2929" sId="7" numFmtId="34">
    <oc r="F10">
      <v>3000</v>
    </oc>
    <nc r="F10">
      <v>23400</v>
    </nc>
  </rcc>
  <rcc rId="2930" sId="7" numFmtId="34">
    <oc r="F11">
      <v>3000</v>
    </oc>
    <nc r="F11">
      <v>23400</v>
    </nc>
  </rcc>
  <rcc rId="2931" sId="7" numFmtId="34">
    <oc r="F12">
      <v>3000</v>
    </oc>
    <nc r="F12">
      <v>23400</v>
    </nc>
  </rcc>
  <rcc rId="2932" sId="7" numFmtId="34">
    <oc r="F13">
      <v>3000</v>
    </oc>
    <nc r="F13">
      <v>23400</v>
    </nc>
  </rcc>
  <rcc rId="2933" sId="7" numFmtId="34">
    <oc r="F14">
      <v>3000</v>
    </oc>
    <nc r="F14">
      <v>23400</v>
    </nc>
  </rcc>
  <rcc rId="2934" sId="7" numFmtId="34">
    <oc r="F15">
      <v>3000</v>
    </oc>
    <nc r="F15">
      <v>23400</v>
    </nc>
  </rcc>
  <rcc rId="2935" sId="7" numFmtId="34">
    <oc r="F16">
      <v>3000</v>
    </oc>
    <nc r="F16">
      <v>23400</v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0" sId="9" numFmtId="34">
    <oc r="A4">
      <v>22</v>
    </oc>
    <nc r="A4">
      <v>24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1" sId="9" numFmtId="34">
    <oc r="A4">
      <v>24</v>
    </oc>
    <nc r="A4">
      <v>25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41">
    <dxf>
      <fill>
        <patternFill patternType="solid">
          <bgColor theme="4"/>
        </patternFill>
      </fill>
    </dxf>
  </rfmt>
  <rcc rId="2962" sId="5">
    <oc r="A41">
      <f>+'1-10'!C41</f>
    </oc>
    <nc r="A41" t="inlineStr">
      <is>
        <t>r</t>
      </is>
    </nc>
  </rcc>
  <rfmt sheetId="6" sqref="A95:D95">
    <dxf>
      <fill>
        <patternFill>
          <bgColor rgb="FFFFC000"/>
        </patternFill>
      </fill>
    </dxf>
  </rfmt>
  <rcc rId="2963" sId="6" numFmtId="4">
    <oc r="D95">
      <v>300</v>
    </oc>
    <nc r="D95">
      <v>0</v>
    </nc>
  </rcc>
  <rcc rId="2964" sId="6" numFmtId="34">
    <oc r="G95">
      <f>3000*(1+CALC!$A$2)</f>
    </oc>
    <nc r="G95">
      <v>0</v>
    </nc>
  </rcc>
  <rcc rId="2965" sId="6" numFmtId="34">
    <oc r="H95">
      <f>20000*(1+CALC!$A$2)</f>
    </oc>
    <nc r="H95">
      <v>0</v>
    </nc>
  </rcc>
  <rcc rId="2966" sId="6" numFmtId="34">
    <oc r="K95">
      <v>468</v>
    </oc>
    <nc r="K95">
      <v>0</v>
    </nc>
  </rcc>
  <rcc rId="2967" sId="6">
    <oc r="A95" t="inlineStr">
      <is>
        <t>WRIGHT 120G</t>
      </is>
    </oc>
    <nc r="A95" t="inlineStr">
      <is>
        <t>WRIGHT 120G Auctioned Nov 2022</t>
      </is>
    </nc>
  </rcc>
  <rfmt sheetId="6" sqref="A93:D94">
    <dxf>
      <fill>
        <patternFill>
          <bgColor rgb="FFFFC000"/>
        </patternFill>
      </fill>
    </dxf>
  </rfmt>
  <rcc rId="2968" sId="6" numFmtId="34">
    <oc r="F93">
      <v>3000</v>
    </oc>
    <nc r="F93">
      <v>0</v>
    </nc>
  </rcc>
  <rcc rId="2969" sId="6" numFmtId="34">
    <oc r="G93">
      <f>5000*(1+CALC!$A$2)</f>
    </oc>
    <nc r="G93">
      <v>0</v>
    </nc>
  </rcc>
  <rcc rId="2970" sId="6" numFmtId="34">
    <oc r="H93">
      <f>25000*(1+CALC!$A$2)</f>
    </oc>
    <nc r="H93">
      <v>0</v>
    </nc>
  </rcc>
  <rcc rId="2971" sId="6" numFmtId="34">
    <oc r="K93">
      <v>468</v>
    </oc>
    <nc r="K93">
      <v>0</v>
    </nc>
  </rcc>
  <rcc rId="2972" sId="6" numFmtId="34">
    <oc r="F94">
      <v>3000</v>
    </oc>
    <nc r="F94">
      <v>0</v>
    </nc>
  </rcc>
  <rcc rId="2973" sId="6" numFmtId="34">
    <oc r="G94">
      <f>5000*(1+CALC!$A$2)</f>
    </oc>
    <nc r="G94">
      <v>0</v>
    </nc>
  </rcc>
  <rcc rId="2974" sId="6" numFmtId="34">
    <oc r="H94">
      <f>6000*(1+CALC!$A$2)</f>
    </oc>
    <nc r="H94">
      <v>0</v>
    </nc>
  </rcc>
  <rcc rId="2975" sId="6" numFmtId="34">
    <oc r="K94">
      <v>468</v>
    </oc>
    <nc r="K94">
      <v>0</v>
    </nc>
  </rcc>
  <rcc rId="2976" sId="6">
    <oc r="A93" t="inlineStr">
      <is>
        <t>JCB</t>
      </is>
    </oc>
    <nc r="A93" t="inlineStr">
      <is>
        <t>JCB Auctioned Nov 2023</t>
      </is>
    </nc>
  </rcc>
  <rcc rId="2977" sId="6">
    <oc r="A94" t="inlineStr">
      <is>
        <t>JCB</t>
      </is>
    </oc>
    <nc r="A94" t="inlineStr">
      <is>
        <t>JCB Auctioned Nov 2023</t>
      </is>
    </nc>
  </rcc>
  <rfmt sheetId="7" sqref="A50:C50">
    <dxf>
      <fill>
        <patternFill>
          <bgColor rgb="FFFFC000"/>
        </patternFill>
      </fill>
    </dxf>
  </rfmt>
  <rcc rId="2978" sId="7">
    <oc r="A50" t="inlineStr">
      <is>
        <t>JCB</t>
      </is>
    </oc>
    <nc r="A50" t="inlineStr">
      <is>
        <t>JCB Autiond Nov 2023</t>
      </is>
    </nc>
  </rcc>
  <rcc rId="2979" sId="7" numFmtId="4">
    <oc r="D50">
      <v>300</v>
    </oc>
    <nc r="D50">
      <v>0</v>
    </nc>
  </rcc>
  <rcc rId="2980" sId="7" numFmtId="34">
    <oc r="F50">
      <v>3000</v>
    </oc>
    <nc r="F50">
      <v>0</v>
    </nc>
  </rcc>
  <rcc rId="2981" sId="7" numFmtId="34">
    <oc r="G50">
      <f>6057.27*(1+CALC!$A$2)</f>
    </oc>
    <nc r="G50">
      <v>0</v>
    </nc>
  </rcc>
  <rcc rId="2982" sId="7" numFmtId="34">
    <oc r="H50">
      <f>40000*(1+CALC!$A$2)</f>
    </oc>
    <nc r="H50">
      <v>0</v>
    </nc>
  </rcc>
  <rcc rId="2983" sId="7" numFmtId="34">
    <oc r="K50">
      <v>240</v>
    </oc>
    <nc r="K50">
      <v>0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34:D34">
    <dxf>
      <fill>
        <patternFill patternType="solid">
          <bgColor rgb="FFFFC000"/>
        </patternFill>
      </fill>
    </dxf>
  </rfmt>
  <rfmt sheetId="5" sqref="A35:D35">
    <dxf>
      <fill>
        <patternFill patternType="solid">
          <bgColor rgb="FFFFC000"/>
        </patternFill>
      </fill>
    </dxf>
  </rfmt>
  <rfmt sheetId="5" sqref="A36:D36">
    <dxf>
      <fill>
        <patternFill patternType="solid">
          <bgColor rgb="FFFFC000"/>
        </patternFill>
      </fill>
    </dxf>
  </rfmt>
  <rfmt sheetId="5" sqref="A41:C41">
    <dxf>
      <fill>
        <patternFill>
          <bgColor rgb="FFFFC000"/>
        </patternFill>
      </fill>
    </dxf>
  </rfmt>
  <rfmt sheetId="5" sqref="A38:D38">
    <dxf>
      <fill>
        <patternFill patternType="solid">
          <bgColor rgb="FFFFC000"/>
        </patternFill>
      </fill>
    </dxf>
  </rfmt>
  <rfmt sheetId="5" sqref="A37:D37">
    <dxf>
      <fill>
        <patternFill patternType="solid">
          <bgColor rgb="FFFFC000"/>
        </patternFill>
      </fill>
    </dxf>
  </rfmt>
  <rfmt sheetId="5" sqref="A30:C30">
    <dxf>
      <fill>
        <patternFill patternType="solid">
          <bgColor rgb="FFFFC000"/>
        </patternFill>
      </fill>
    </dxf>
  </rfmt>
  <rfmt sheetId="5" sqref="A33:C33">
    <dxf>
      <fill>
        <patternFill patternType="solid">
          <bgColor rgb="FFFFC000"/>
        </patternFill>
      </fill>
    </dxf>
  </rfmt>
  <rcc rId="2984" sId="5" numFmtId="4">
    <oc r="D30">
      <v>38000</v>
    </oc>
    <nc r="D30">
      <v>0</v>
    </nc>
  </rcc>
  <rcc rId="2985" sId="5" numFmtId="34">
    <oc r="F30">
      <v>3000</v>
    </oc>
    <nc r="F30">
      <v>0</v>
    </nc>
  </rcc>
  <rcc rId="2986" sId="5" numFmtId="34">
    <oc r="G30">
      <f>5500*(1+CALC!$A$2)</f>
    </oc>
    <nc r="G30">
      <v>0</v>
    </nc>
  </rcc>
  <rcc rId="2987" sId="5" numFmtId="34">
    <oc r="H30">
      <f>58000</f>
    </oc>
    <nc r="H30">
      <v>0</v>
    </nc>
  </rcc>
  <rcc rId="2988" sId="5" numFmtId="34">
    <oc r="I30">
      <v>23878.29</v>
    </oc>
    <nc r="I30">
      <v>0</v>
    </nc>
  </rcc>
  <rcc rId="2989" sId="5" numFmtId="34">
    <oc r="K30">
      <v>1200</v>
    </oc>
    <nc r="K30">
      <v>0</v>
    </nc>
  </rcc>
  <rcc rId="2990" sId="5" numFmtId="4">
    <oc r="D33">
      <v>10000</v>
    </oc>
    <nc r="D33">
      <v>0</v>
    </nc>
  </rcc>
  <rcc rId="2991" sId="5" numFmtId="34">
    <oc r="F33">
      <v>3000</v>
    </oc>
    <nc r="F33">
      <v>0</v>
    </nc>
  </rcc>
  <rcc rId="2992" sId="5" numFmtId="34">
    <oc r="G33">
      <f>5500*(1+CALC!$A$2)</f>
    </oc>
    <nc r="G33">
      <v>0</v>
    </nc>
  </rcc>
  <rcc rId="2993" sId="5" numFmtId="34">
    <oc r="H33">
      <f>8000*(1+CALC!$A$2)</f>
    </oc>
    <nc r="H33">
      <v>0</v>
    </nc>
  </rcc>
  <rcc rId="2994" sId="5" numFmtId="34">
    <oc r="I33">
      <v>23928.17</v>
    </oc>
    <nc r="I33">
      <v>0</v>
    </nc>
  </rcc>
  <rcc rId="2995" sId="5" numFmtId="34">
    <oc r="K33">
      <v>1200</v>
    </oc>
    <nc r="K33">
      <v>0</v>
    </nc>
  </rcc>
  <rcc rId="2996" sId="5" numFmtId="4">
    <oc r="D34">
      <v>10000</v>
    </oc>
    <nc r="D34">
      <v>0</v>
    </nc>
  </rcc>
  <rcc rId="2997" sId="5" numFmtId="34">
    <oc r="F34">
      <v>3000</v>
    </oc>
    <nc r="F34">
      <v>0</v>
    </nc>
  </rcc>
  <rcc rId="2998" sId="5" numFmtId="34">
    <oc r="G34">
      <f>5500*(1+CALC!$A$2)</f>
    </oc>
    <nc r="G34">
      <v>0</v>
    </nc>
  </rcc>
  <rcc rId="2999" sId="5" numFmtId="34">
    <oc r="H34">
      <f>8000*(1+CALC!$A$2)</f>
    </oc>
    <nc r="H34">
      <v>0</v>
    </nc>
  </rcc>
  <rcc rId="3000" sId="5" numFmtId="34">
    <oc r="I34">
      <v>23878.29</v>
    </oc>
    <nc r="I34">
      <v>0</v>
    </nc>
  </rcc>
  <rcc rId="3001" sId="5" numFmtId="34">
    <oc r="K34">
      <v>1200</v>
    </oc>
    <nc r="K34">
      <v>0</v>
    </nc>
  </rcc>
  <rcc rId="3002" sId="5" numFmtId="4">
    <oc r="D35">
      <v>20000</v>
    </oc>
    <nc r="D35">
      <v>0</v>
    </nc>
  </rcc>
  <rcc rId="3003" sId="5" numFmtId="34">
    <oc r="F35">
      <v>3000</v>
    </oc>
    <nc r="F35">
      <v>0</v>
    </nc>
  </rcc>
  <rcc rId="3004" sId="5" numFmtId="34">
    <oc r="G35">
      <f>5500*(1+CALC!$A$2)</f>
    </oc>
    <nc r="G35">
      <v>0</v>
    </nc>
  </rcc>
  <rcc rId="3005" sId="5" numFmtId="34">
    <oc r="H35">
      <f>58000</f>
    </oc>
    <nc r="H35">
      <v>0</v>
    </nc>
  </rcc>
  <rcc rId="3006" sId="5" numFmtId="34">
    <oc r="I35">
      <v>23969.439999999999</v>
    </oc>
    <nc r="I35">
      <v>0</v>
    </nc>
  </rcc>
  <rcc rId="3007" sId="5" numFmtId="34">
    <oc r="K35">
      <v>1200</v>
    </oc>
    <nc r="K35">
      <v>0</v>
    </nc>
  </rcc>
  <rcc rId="3008" sId="5" numFmtId="4">
    <oc r="D36">
      <v>10000</v>
    </oc>
    <nc r="D36">
      <v>0</v>
    </nc>
  </rcc>
  <rcc rId="3009" sId="5" numFmtId="34">
    <oc r="F36">
      <v>3000</v>
    </oc>
    <nc r="F36">
      <v>0</v>
    </nc>
  </rcc>
  <rcc rId="3010" sId="5" numFmtId="34">
    <oc r="G36">
      <f>5500*(1+CALC!$A$2)</f>
    </oc>
    <nc r="G36">
      <v>0</v>
    </nc>
  </rcc>
  <rcc rId="3011" sId="5" numFmtId="34">
    <oc r="H36">
      <f>8000*(1+CALC!$A$2)</f>
    </oc>
    <nc r="H36">
      <v>0</v>
    </nc>
  </rcc>
  <rcc rId="3012" sId="5" numFmtId="34">
    <oc r="I36">
      <v>23878.29</v>
    </oc>
    <nc r="I36">
      <v>0</v>
    </nc>
  </rcc>
  <rcc rId="3013" sId="5" numFmtId="34">
    <oc r="K36">
      <v>1200</v>
    </oc>
    <nc r="K36">
      <v>0</v>
    </nc>
  </rcc>
  <rcc rId="3014" sId="5" numFmtId="4">
    <oc r="D37">
      <v>10000</v>
    </oc>
    <nc r="D37">
      <v>0</v>
    </nc>
  </rcc>
  <rcc rId="3015" sId="5" numFmtId="34">
    <oc r="E37">
      <f>+D37/P37*(CALC!$A$4)</f>
    </oc>
    <nc r="E37">
      <v>0</v>
    </nc>
  </rcc>
  <rcc rId="3016" sId="5" numFmtId="34">
    <oc r="F37">
      <v>3000</v>
    </oc>
    <nc r="F37">
      <v>0</v>
    </nc>
  </rcc>
  <rcc rId="3017" sId="5" numFmtId="34">
    <oc r="G37">
      <f>5500*(1+CALC!$A$2)</f>
    </oc>
    <nc r="G37">
      <v>0</v>
    </nc>
  </rcc>
  <rcc rId="3018" sId="5" numFmtId="34">
    <oc r="H37">
      <f>8000*(1+CALC!$A$2)</f>
    </oc>
    <nc r="H37">
      <v>0</v>
    </nc>
  </rcc>
  <rcc rId="3019" sId="5" numFmtId="34">
    <oc r="I37">
      <v>23878.29</v>
    </oc>
    <nc r="I37">
      <v>0</v>
    </nc>
  </rcc>
  <rcc rId="3020" sId="5" numFmtId="34">
    <oc r="K37">
      <v>1200</v>
    </oc>
    <nc r="K37">
      <v>0</v>
    </nc>
  </rcc>
  <rcc rId="3021" sId="5" numFmtId="4">
    <oc r="D38">
      <v>20000</v>
    </oc>
    <nc r="D38">
      <v>0</v>
    </nc>
  </rcc>
  <rcc rId="3022" sId="5" numFmtId="34">
    <oc r="F38">
      <v>3000</v>
    </oc>
    <nc r="F38">
      <v>0</v>
    </nc>
  </rcc>
  <rcc rId="3023" sId="5" numFmtId="34">
    <oc r="G38">
      <f>5500*(1+CALC!$A$2)</f>
    </oc>
    <nc r="G38">
      <v>0</v>
    </nc>
  </rcc>
  <rcc rId="3024" sId="5" numFmtId="34">
    <oc r="H38">
      <f>58000</f>
    </oc>
    <nc r="H38">
      <v>0</v>
    </nc>
  </rcc>
  <rcc rId="3025" sId="5" numFmtId="34">
    <oc r="I38">
      <v>23929.17</v>
    </oc>
    <nc r="I38">
      <v>0</v>
    </nc>
  </rcc>
  <rcc rId="3026" sId="5" numFmtId="34">
    <oc r="K38">
      <v>1200</v>
    </oc>
    <nc r="K38">
      <v>0</v>
    </nc>
  </rcc>
  <rcc rId="3027" sId="5" numFmtId="4">
    <oc r="D41">
      <v>30000</v>
    </oc>
    <nc r="D41">
      <v>0</v>
    </nc>
  </rcc>
  <rcc rId="3028" sId="5" numFmtId="34">
    <oc r="F41">
      <v>3000</v>
    </oc>
    <nc r="F41">
      <v>0</v>
    </nc>
  </rcc>
  <rcc rId="3029" sId="5" numFmtId="34">
    <oc r="G41">
      <f>5500*(1+CALC!$A$2)</f>
    </oc>
    <nc r="G41">
      <v>0</v>
    </nc>
  </rcc>
  <rcc rId="3030" sId="5" numFmtId="34">
    <oc r="H41">
      <f>58000</f>
    </oc>
    <nc r="H41">
      <v>0</v>
    </nc>
  </rcc>
  <rcc rId="3031" sId="5" numFmtId="34">
    <oc r="I41">
      <v>23878.29</v>
    </oc>
    <nc r="I41">
      <v>0</v>
    </nc>
  </rcc>
  <rcc rId="3032" sId="5" numFmtId="34">
    <oc r="K41">
      <v>1200</v>
    </oc>
    <nc r="K41">
      <v>0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42:C42">
    <dxf>
      <fill>
        <patternFill patternType="solid">
          <bgColor rgb="FF92D050"/>
        </patternFill>
      </fill>
    </dxf>
  </rfmt>
  <rfmt sheetId="5" sqref="A43:C43">
    <dxf>
      <fill>
        <patternFill patternType="solid">
          <bgColor rgb="FF92D050"/>
        </patternFill>
      </fill>
    </dxf>
  </rfmt>
  <rfmt sheetId="5" sqref="A46:B46">
    <dxf>
      <fill>
        <patternFill patternType="solid">
          <bgColor rgb="FF92D050"/>
        </patternFill>
      </fill>
    </dxf>
  </rfmt>
  <rfmt sheetId="5" sqref="A45:B46">
    <dxf>
      <fill>
        <patternFill>
          <bgColor rgb="FF92D050"/>
        </patternFill>
      </fill>
    </dxf>
  </rfmt>
  <rcc rId="3033" sId="5" numFmtId="34">
    <oc r="F42">
      <v>3000</v>
    </oc>
    <nc r="F42">
      <v>23400</v>
    </nc>
  </rcc>
  <rcc rId="3034" sId="5" numFmtId="34">
    <oc r="F43">
      <v>3000</v>
    </oc>
    <nc r="F43">
      <v>23400</v>
    </nc>
  </rcc>
  <rcc rId="3035" sId="5" numFmtId="34">
    <oc r="F44">
      <v>3000</v>
    </oc>
    <nc r="F44">
      <v>23400</v>
    </nc>
  </rcc>
  <rcc rId="3036" sId="5" numFmtId="34">
    <oc r="F45">
      <v>3000</v>
    </oc>
    <nc r="F45">
      <v>23400</v>
    </nc>
  </rcc>
  <rcc rId="3037" sId="5" numFmtId="34">
    <oc r="F46">
      <v>3000</v>
    </oc>
    <nc r="F46">
      <v>23400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44:B44">
    <dxf>
      <fill>
        <patternFill patternType="solid">
          <bgColor rgb="FFFFC000"/>
        </patternFill>
      </fill>
    </dxf>
  </rfmt>
  <rcc rId="3038" sId="5" numFmtId="4">
    <oc r="D44">
      <v>40000</v>
    </oc>
    <nc r="D44">
      <v>0</v>
    </nc>
  </rcc>
  <rcc rId="3039" sId="5" numFmtId="34">
    <oc r="F44">
      <v>23400</v>
    </oc>
    <nc r="F44">
      <v>0</v>
    </nc>
  </rcc>
  <rcc rId="3040" sId="5" numFmtId="34">
    <oc r="G44">
      <f>5500*(1+CALC!$A$2)</f>
    </oc>
    <nc r="G44">
      <v>0</v>
    </nc>
  </rcc>
  <rcc rId="3041" sId="5" numFmtId="34">
    <oc r="H44">
      <v>20000</v>
    </oc>
    <nc r="H44">
      <v>0</v>
    </nc>
  </rcc>
  <rcc rId="3042" sId="5" numFmtId="34">
    <oc r="I44">
      <v>100000</v>
    </oc>
    <nc r="I44">
      <v>0</v>
    </nc>
  </rcc>
  <rcc rId="3043" sId="5" numFmtId="34">
    <oc r="K44">
      <v>1200</v>
    </oc>
    <nc r="K44">
      <v>0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4" sId="5">
    <nc r="C44" t="inlineStr">
      <is>
        <t>W/O</t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29:C29">
    <dxf>
      <fill>
        <patternFill patternType="solid">
          <bgColor rgb="FF92D050"/>
        </patternFill>
      </fill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5" sId="5" numFmtId="34">
    <oc r="F29">
      <v>3000</v>
    </oc>
    <nc r="F29">
      <v>23400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66:C66">
    <dxf>
      <fill>
        <patternFill patternType="solid">
          <bgColor rgb="FFFFFF00"/>
        </patternFill>
      </fill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14:C14">
    <dxf>
      <fill>
        <patternFill patternType="solid">
          <bgColor rgb="FF92D050"/>
        </patternFill>
      </fill>
    </dxf>
  </rfmt>
  <rfmt sheetId="4" sqref="A20:C20">
    <dxf>
      <fill>
        <patternFill patternType="solid">
          <bgColor rgb="FF92D050"/>
        </patternFill>
      </fill>
    </dxf>
  </rfmt>
  <rfmt sheetId="5" sqref="A16:C16">
    <dxf>
      <fill>
        <patternFill patternType="solid">
          <bgColor rgb="FFFFC000"/>
        </patternFill>
      </fill>
    </dxf>
  </rfmt>
  <rcc rId="3046" sId="5" numFmtId="4">
    <oc r="D16">
      <v>10000</v>
    </oc>
    <nc r="D16">
      <v>0</v>
    </nc>
  </rcc>
  <rcc rId="3047" sId="5" numFmtId="34">
    <oc r="F16">
      <v>3000</v>
    </oc>
    <nc r="F16">
      <v>0</v>
    </nc>
  </rcc>
  <rcc rId="3048" sId="5" numFmtId="34">
    <oc r="G16">
      <f>6057.278*(1+CALC!$A$2)</f>
    </oc>
    <nc r="G16">
      <v>0</v>
    </nc>
  </rcc>
  <rcc rId="3049" sId="5" numFmtId="34">
    <oc r="H16">
      <v>40000</v>
    </oc>
    <nc r="H16">
      <v>0</v>
    </nc>
  </rcc>
  <rcc rId="3050" sId="5" numFmtId="34">
    <oc r="I16">
      <v>30000</v>
    </oc>
    <nc r="I16">
      <v>0</v>
    </nc>
  </rcc>
  <rcc rId="3051" sId="5" numFmtId="34">
    <oc r="K16">
      <v>2400</v>
    </oc>
    <nc r="K16">
      <v>0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A79:C79">
    <dxf>
      <fill>
        <patternFill patternType="solid">
          <bgColor rgb="FF92D050"/>
        </patternFill>
      </fill>
    </dxf>
  </rfmt>
  <rcc rId="3052" sId="6" numFmtId="34">
    <oc r="F79">
      <v>3000</v>
    </oc>
    <nc r="F79">
      <v>23400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9:C9">
    <dxf>
      <fill>
        <patternFill patternType="solid">
          <bgColor rgb="FF92D050"/>
        </patternFill>
      </fill>
    </dxf>
  </rfmt>
  <rcc rId="3053" sId="3" numFmtId="34">
    <oc r="F9">
      <v>3000</v>
    </oc>
    <nc r="F9">
      <v>23400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54" sId="1" numFmtId="34">
    <oc r="F28">
      <v>0</v>
    </oc>
    <nc r="F28">
      <v>23400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55" sId="6" numFmtId="34">
    <oc r="K7">
      <v>960</v>
    </oc>
    <nc r="K7">
      <v>1100</v>
    </nc>
  </rcc>
  <rcc rId="3056" sId="6" numFmtId="34">
    <oc r="K8">
      <v>960</v>
    </oc>
    <nc r="K8">
      <v>1100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66">
    <dxf>
      <fill>
        <patternFill patternType="solid">
          <bgColor rgb="FF00B0F0"/>
        </patternFill>
      </fill>
    </dxf>
  </rfmt>
  <rfmt sheetId="4" sqref="E68">
    <dxf>
      <fill>
        <patternFill patternType="solid">
          <bgColor rgb="FF00B0F0"/>
        </patternFill>
      </fill>
    </dxf>
  </rfmt>
  <rfmt sheetId="4" sqref="E67">
    <dxf>
      <fill>
        <patternFill patternType="solid">
          <bgColor rgb="FF00B0F0"/>
        </patternFill>
      </fill>
    </dxf>
  </rfmt>
  <rfmt sheetId="4" sqref="E69">
    <dxf>
      <fill>
        <patternFill patternType="solid">
          <bgColor rgb="FF00B0F0"/>
        </patternFill>
      </fill>
    </dxf>
  </rfmt>
  <rfmt sheetId="4" sqref="E70">
    <dxf>
      <fill>
        <patternFill patternType="solid">
          <bgColor rgb="FF00B0F0"/>
        </patternFill>
      </fill>
    </dxf>
  </rfmt>
  <rfmt sheetId="7" sqref="E83">
    <dxf>
      <fill>
        <patternFill>
          <bgColor rgb="FF00B0F0"/>
        </patternFill>
      </fill>
    </dxf>
  </rfmt>
  <rfmt sheetId="4" sqref="E72">
    <dxf>
      <fill>
        <patternFill>
          <bgColor rgb="FF00B0F0"/>
        </patternFill>
      </fill>
    </dxf>
  </rfmt>
  <rfmt sheetId="7" sqref="E77">
    <dxf>
      <fill>
        <patternFill>
          <bgColor rgb="FF00B0F0"/>
        </patternFill>
      </fill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53:E54">
    <dxf>
      <fill>
        <patternFill patternType="solid">
          <bgColor rgb="FF00B0F0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29">
    <dxf>
      <fill>
        <patternFill patternType="solid">
          <bgColor rgb="FF00B0F0"/>
        </patternFill>
      </fill>
    </dxf>
  </rfmt>
  <rfmt sheetId="6" sqref="E15">
    <dxf>
      <fill>
        <patternFill patternType="solid">
          <bgColor rgb="FF00B0F0"/>
        </patternFill>
      </fill>
    </dxf>
  </rfmt>
  <rfmt sheetId="6" sqref="E13">
    <dxf>
      <fill>
        <patternFill patternType="solid">
          <bgColor rgb="FF00B0F0"/>
        </patternFill>
      </fill>
    </dxf>
  </rfmt>
  <rfmt sheetId="6" sqref="E14">
    <dxf>
      <fill>
        <patternFill patternType="solid">
          <bgColor rgb="FF00B0F0"/>
        </patternFill>
      </fill>
    </dxf>
  </rfmt>
  <rfmt sheetId="7" sqref="E24">
    <dxf>
      <fill>
        <patternFill patternType="solid">
          <bgColor rgb="FF00B0F0"/>
        </patternFill>
      </fill>
    </dxf>
  </rfmt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31">
    <dxf>
      <fill>
        <patternFill patternType="solid">
          <bgColor rgb="FF00B0F0"/>
        </patternFill>
      </fill>
    </dxf>
  </rfmt>
  <rfmt sheetId="5" sqref="E32">
    <dxf>
      <fill>
        <patternFill patternType="solid">
          <bgColor rgb="FF00B0F0"/>
        </patternFill>
      </fill>
    </dxf>
  </rfmt>
  <rfmt sheetId="5" sqref="E47">
    <dxf>
      <fill>
        <patternFill patternType="solid">
          <bgColor rgb="FF00B0F0"/>
        </patternFill>
      </fill>
    </dxf>
  </rfmt>
  <rfmt sheetId="5" sqref="E40">
    <dxf>
      <fill>
        <patternFill patternType="solid">
          <bgColor rgb="FF00B0F0"/>
        </patternFill>
      </fill>
    </dxf>
  </rfmt>
  <rfmt sheetId="7" sqref="E23">
    <dxf>
      <fill>
        <patternFill patternType="solid">
          <bgColor rgb="FF00B0F0"/>
        </patternFill>
      </fill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15">
    <dxf>
      <fill>
        <patternFill patternType="solid">
          <bgColor rgb="FF00B0F0"/>
        </patternFill>
      </fill>
    </dxf>
  </rfmt>
  <rfmt sheetId="1" sqref="E15">
    <dxf>
      <fill>
        <patternFill patternType="solid">
          <bgColor rgb="FF00B0F0"/>
        </patternFill>
      </fill>
    </dxf>
  </rfmt>
  <rfmt sheetId="7" sqref="E11">
    <dxf>
      <fill>
        <patternFill patternType="solid">
          <bgColor rgb="FF00B0F0"/>
        </patternFill>
      </fill>
    </dxf>
  </rfmt>
  <rfmt sheetId="1" sqref="E8:E9">
    <dxf>
      <fill>
        <patternFill patternType="solid">
          <bgColor rgb="FF00B0F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67:C67">
    <dxf>
      <fill>
        <patternFill patternType="solid">
          <bgColor rgb="FFFFFF00"/>
        </patternFill>
      </fill>
    </dxf>
  </rfmt>
  <rfmt sheetId="4" sqref="A68:C68">
    <dxf>
      <fill>
        <patternFill patternType="solid">
          <bgColor rgb="FFFFFF00"/>
        </patternFill>
      </fill>
    </dxf>
  </rfmt>
  <rfmt sheetId="4" sqref="A69:C69">
    <dxf>
      <fill>
        <patternFill patternType="solid">
          <bgColor rgb="FFFFFF00"/>
        </patternFill>
      </fill>
    </dxf>
  </rfmt>
  <rfmt sheetId="4" sqref="A70:C70">
    <dxf>
      <fill>
        <patternFill patternType="solid">
          <bgColor rgb="FFFFFF00"/>
        </patternFill>
      </fill>
    </dxf>
  </rfmt>
  <rfmt sheetId="4" sqref="A71:C71">
    <dxf>
      <fill>
        <patternFill patternType="solid">
          <bgColor rgb="FFFFFF00"/>
        </patternFill>
      </fill>
    </dxf>
  </rfmt>
  <rfmt sheetId="4" sqref="A72:D72">
    <dxf>
      <fill>
        <patternFill>
          <bgColor rgb="FFFFFF00"/>
        </patternFill>
      </fill>
    </dxf>
  </rfmt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8">
    <dxf>
      <fill>
        <patternFill patternType="solid">
          <bgColor rgb="FF00B0F0"/>
        </patternFill>
      </fill>
    </dxf>
  </rfmt>
  <rfmt sheetId="4" sqref="E78">
    <dxf>
      <fill>
        <patternFill patternType="solid">
          <bgColor rgb="FF00B0F0"/>
        </patternFill>
      </fill>
    </dxf>
  </rfmt>
  <rfmt sheetId="4" sqref="E79">
    <dxf>
      <fill>
        <patternFill patternType="solid">
          <bgColor rgb="FF00B0F0"/>
        </patternFill>
      </fill>
    </dxf>
  </rfmt>
  <rfmt sheetId="7" sqref="E13">
    <dxf>
      <fill>
        <patternFill>
          <bgColor rgb="FF00B0F0"/>
        </patternFill>
      </fill>
    </dxf>
  </rfmt>
  <rfmt sheetId="5" sqref="E7">
    <dxf>
      <fill>
        <patternFill patternType="solid">
          <bgColor rgb="FF00B0F0"/>
        </patternFill>
      </fill>
    </dxf>
  </rfmt>
  <rfmt sheetId="6" sqref="E7">
    <dxf>
      <fill>
        <patternFill patternType="solid">
          <bgColor rgb="FF00B0F0"/>
        </patternFill>
      </fill>
    </dxf>
  </rfmt>
  <rfmt sheetId="2" sqref="E9">
    <dxf>
      <fill>
        <patternFill patternType="solid">
          <bgColor rgb="FF00B0F0"/>
        </patternFill>
      </fill>
    </dxf>
  </rfmt>
  <rfmt sheetId="4" sqref="E83">
    <dxf>
      <fill>
        <patternFill patternType="solid">
          <bgColor rgb="FF00B0F0"/>
        </patternFill>
      </fill>
    </dxf>
  </rfmt>
  <rfmt sheetId="4" sqref="E82">
    <dxf>
      <fill>
        <patternFill patternType="solid">
          <bgColor rgb="FF00B0F0"/>
        </patternFill>
      </fill>
    </dxf>
  </rfmt>
  <rfmt sheetId="7" sqref="E16">
    <dxf>
      <fill>
        <patternFill patternType="solid">
          <bgColor rgb="FF00B0F0"/>
        </patternFill>
      </fill>
    </dxf>
  </rfmt>
  <rfmt sheetId="4" sqref="E81">
    <dxf>
      <fill>
        <patternFill patternType="solid">
          <bgColor rgb="FF00B0F0"/>
        </patternFill>
      </fill>
    </dxf>
  </rfmt>
  <rfmt sheetId="4" sqref="E80">
    <dxf>
      <fill>
        <patternFill patternType="solid">
          <bgColor rgb="FF00B0F0"/>
        </patternFill>
      </fill>
    </dxf>
  </rfmt>
  <rfmt sheetId="7" sqref="E7">
    <dxf>
      <fill>
        <patternFill patternType="solid">
          <bgColor rgb="FF00B0F0"/>
        </patternFill>
      </fill>
    </dxf>
  </rfmt>
  <rfmt sheetId="7" sqref="E8">
    <dxf>
      <fill>
        <patternFill patternType="solid">
          <bgColor rgb="FF00B0F0"/>
        </patternFill>
      </fill>
    </dxf>
  </rfmt>
  <rfmt sheetId="7" sqref="E15">
    <dxf>
      <fill>
        <patternFill patternType="solid">
          <bgColor rgb="FF00B0F0"/>
        </patternFill>
      </fill>
    </dxf>
  </rfmt>
  <rfmt sheetId="7" sqref="E14">
    <dxf>
      <fill>
        <patternFill patternType="solid">
          <bgColor rgb="FF00B0F0"/>
        </patternFill>
      </fill>
    </dxf>
  </rfmt>
  <rfmt sheetId="7" sqref="E10">
    <dxf>
      <fill>
        <patternFill patternType="solid">
          <bgColor rgb="FF00B0F0"/>
        </patternFill>
      </fill>
    </dxf>
  </rfmt>
  <rfmt sheetId="6" sqref="E8">
    <dxf>
      <fill>
        <patternFill patternType="solid">
          <bgColor rgb="FF00B0F0"/>
        </patternFill>
      </fill>
    </dxf>
  </rfmt>
  <rfmt sheetId="4" sqref="E7">
    <dxf>
      <fill>
        <patternFill patternType="solid">
          <bgColor rgb="FF00B0F0"/>
        </patternFill>
      </fill>
    </dxf>
  </rfmt>
  <rcc rId="3057" sId="3">
    <oc r="B9">
      <f>+'1-10'!R13</f>
    </oc>
    <nc r="B9">
      <f>+'1-10'!R12</f>
    </nc>
  </rcc>
  <rfmt sheetId="3" sqref="E9">
    <dxf>
      <fill>
        <patternFill patternType="solid">
          <bgColor rgb="FF00B0F0"/>
        </patternFill>
      </fill>
    </dxf>
  </rfmt>
  <rfmt sheetId="7" sqref="E9">
    <dxf>
      <fill>
        <patternFill patternType="solid">
          <bgColor rgb="FF00B0F0"/>
        </patternFill>
      </fill>
    </dxf>
  </rfmt>
  <rfmt sheetId="2" sqref="E10">
    <dxf>
      <fill>
        <patternFill patternType="solid">
          <bgColor rgb="FF00B0F0"/>
        </patternFill>
      </fill>
    </dxf>
  </rfmt>
  <rfmt sheetId="3" sqref="E9">
    <dxf>
      <fill>
        <patternFill>
          <bgColor theme="0"/>
        </patternFill>
      </fill>
    </dxf>
  </rfmt>
  <rcc rId="3058" sId="2">
    <oc r="C10">
      <v>624</v>
    </oc>
    <nc r="C10">
      <v>611</v>
    </nc>
  </rcc>
  <rfmt sheetId="1" sqref="E22">
    <dxf>
      <fill>
        <patternFill patternType="solid">
          <bgColor rgb="FF00B0F0"/>
        </patternFill>
      </fill>
    </dxf>
  </rfmt>
  <rfmt sheetId="3" sqref="E10">
    <dxf>
      <fill>
        <patternFill patternType="solid">
          <bgColor rgb="FF00B0F0"/>
        </patternFill>
      </fill>
    </dxf>
  </rfmt>
  <rfmt sheetId="6" sqref="E60">
    <dxf>
      <fill>
        <patternFill patternType="solid">
          <bgColor rgb="FF00B0F0"/>
        </patternFill>
      </fill>
    </dxf>
  </rfmt>
  <rfmt sheetId="6" sqref="E59">
    <dxf>
      <fill>
        <patternFill patternType="solid">
          <bgColor rgb="FF00B0F0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3">
    <dxf>
      <fill>
        <patternFill patternType="solid">
          <bgColor rgb="FF00B0F0"/>
        </patternFill>
      </fill>
    </dxf>
  </rfmt>
  <rfmt sheetId="4" sqref="E20">
    <dxf>
      <fill>
        <patternFill patternType="solid">
          <bgColor rgb="FF00B0F0"/>
        </patternFill>
      </fill>
    </dxf>
  </rfmt>
  <rfmt sheetId="6" sqref="E27">
    <dxf>
      <fill>
        <patternFill patternType="solid">
          <bgColor rgb="FF00B0F0"/>
        </patternFill>
      </fill>
    </dxf>
  </rfmt>
  <rfmt sheetId="5" sqref="E17">
    <dxf>
      <fill>
        <patternFill patternType="solid">
          <bgColor rgb="FF00B0F0"/>
        </patternFill>
      </fill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40">
    <dxf>
      <fill>
        <patternFill patternType="solid">
          <bgColor rgb="FF00B0F0"/>
        </patternFill>
      </fill>
    </dxf>
  </rfmt>
  <rfmt sheetId="5" sqref="E14">
    <dxf>
      <fill>
        <patternFill patternType="solid">
          <bgColor rgb="FF00B0F0"/>
        </patternFill>
      </fill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91">
    <dxf>
      <fill>
        <patternFill patternType="solid">
          <bgColor rgb="FF00B0F0"/>
        </patternFill>
      </fill>
    </dxf>
  </rfmt>
  <rfmt sheetId="4" sqref="E89">
    <dxf>
      <fill>
        <patternFill patternType="solid">
          <bgColor rgb="FF00B0F0"/>
        </patternFill>
      </fill>
    </dxf>
  </rfmt>
  <rfmt sheetId="6" sqref="E22">
    <dxf>
      <fill>
        <patternFill patternType="solid">
          <bgColor rgb="FF00B0F0"/>
        </patternFill>
      </fill>
    </dxf>
  </rfmt>
  <rfmt sheetId="6" sqref="E21">
    <dxf>
      <fill>
        <patternFill patternType="solid">
          <bgColor rgb="FF00B0F0"/>
        </patternFill>
      </fill>
    </dxf>
  </rfmt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73">
    <dxf>
      <fill>
        <patternFill patternType="solid">
          <bgColor rgb="FF00B0F0"/>
        </patternFill>
      </fill>
    </dxf>
  </rfmt>
  <rfmt sheetId="6" sqref="E20">
    <dxf>
      <fill>
        <patternFill patternType="solid">
          <bgColor rgb="FF00B0F0"/>
        </patternFill>
      </fill>
    </dxf>
  </rfmt>
  <rfmt sheetId="4" sqref="E90">
    <dxf>
      <fill>
        <patternFill patternType="solid">
          <bgColor rgb="FF00B0F0"/>
        </patternFill>
      </fill>
    </dxf>
  </rfmt>
  <rfmt sheetId="4" sqref="E14">
    <dxf>
      <fill>
        <patternFill patternType="solid">
          <bgColor rgb="FF00B0F0"/>
        </patternFill>
      </fill>
    </dxf>
  </rfmt>
  <rfmt sheetId="4" sqref="E13">
    <dxf>
      <fill>
        <patternFill patternType="solid">
          <bgColor rgb="FF00B0F0"/>
        </patternFill>
      </fill>
    </dxf>
  </rfmt>
  <rfmt sheetId="4" sqref="E21">
    <dxf>
      <fill>
        <patternFill patternType="solid">
          <bgColor rgb="FF00B0F0"/>
        </patternFill>
      </fill>
    </dxf>
  </rfmt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E29">
    <dxf>
      <fill>
        <patternFill patternType="solid">
          <bgColor rgb="FF00B0F0"/>
        </patternFill>
      </fill>
    </dxf>
  </rfmt>
  <rfmt sheetId="6" sqref="E29">
    <dxf>
      <fill>
        <patternFill patternType="solid">
          <bgColor rgb="FF00B0F0"/>
        </patternFill>
      </fill>
    </dxf>
  </rfmt>
  <rfmt sheetId="6" sqref="E30">
    <dxf>
      <fill>
        <patternFill patternType="solid">
          <bgColor rgb="FF00B0F0"/>
        </patternFill>
      </fill>
    </dxf>
  </rfmt>
  <rfmt sheetId="6" sqref="E46">
    <dxf>
      <fill>
        <patternFill patternType="solid">
          <bgColor rgb="FF00B0F0"/>
        </patternFill>
      </fill>
    </dxf>
  </rfmt>
  <rfmt sheetId="5" sqref="E80">
    <dxf>
      <fill>
        <patternFill patternType="solid">
          <bgColor rgb="FF00B0F0"/>
        </patternFill>
      </fill>
    </dxf>
  </rfmt>
  <rfmt sheetId="5" sqref="E19">
    <dxf>
      <fill>
        <patternFill patternType="solid">
          <bgColor rgb="FF00B0F0"/>
        </patternFill>
      </fill>
    </dxf>
  </rfmt>
  <rfmt sheetId="5" sqref="E15">
    <dxf>
      <fill>
        <patternFill patternType="solid">
          <bgColor rgb="FF00B0F0"/>
        </patternFill>
      </fill>
    </dxf>
  </rfmt>
  <rfmt sheetId="6" sqref="E47">
    <dxf>
      <fill>
        <patternFill patternType="solid">
          <bgColor rgb="FF00B0F0"/>
        </patternFill>
      </fill>
    </dxf>
  </rfmt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E34">
    <dxf>
      <fill>
        <patternFill patternType="solid">
          <bgColor rgb="FF00B0F0"/>
        </patternFill>
      </fill>
    </dxf>
  </rfmt>
  <rfmt sheetId="5" sqref="E20">
    <dxf>
      <fill>
        <patternFill patternType="solid">
          <bgColor rgb="FF00B0F0"/>
        </patternFill>
      </fill>
    </dxf>
  </rfmt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1">
    <dxf>
      <fill>
        <patternFill patternType="solid">
          <bgColor rgb="FF00B0F0"/>
        </patternFill>
      </fill>
    </dxf>
  </rfmt>
  <rfmt sheetId="5" sqref="E74">
    <dxf>
      <fill>
        <patternFill patternType="solid">
          <bgColor rgb="FF00B0F0"/>
        </patternFill>
      </fill>
    </dxf>
  </rfmt>
  <rfmt sheetId="5" sqref="E67">
    <dxf>
      <fill>
        <patternFill patternType="solid">
          <bgColor rgb="FF00B0F0"/>
        </patternFill>
      </fill>
    </dxf>
  </rfmt>
  <rfmt sheetId="5" sqref="E66">
    <dxf>
      <fill>
        <patternFill patternType="solid">
          <bgColor rgb="FF00B0F0"/>
        </patternFill>
      </fill>
    </dxf>
  </rfmt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9">
    <dxf>
      <fill>
        <patternFill patternType="solid">
          <bgColor rgb="FF00B0F0"/>
        </patternFill>
      </fill>
    </dxf>
  </rfmt>
  <rfmt sheetId="6" sqref="E77">
    <dxf>
      <fill>
        <patternFill patternType="solid">
          <bgColor rgb="FF00B0F0"/>
        </patternFill>
      </fill>
    </dxf>
  </rfmt>
  <rfmt sheetId="6" sqref="E80">
    <dxf>
      <fill>
        <patternFill patternType="solid">
          <bgColor rgb="FF00B0F0"/>
        </patternFill>
      </fill>
    </dxf>
  </rfmt>
  <rfmt sheetId="7" sqref="E39">
    <dxf>
      <fill>
        <patternFill patternType="solid">
          <bgColor rgb="FF00B0F0"/>
        </patternFill>
      </fill>
    </dxf>
  </rfmt>
  <rfmt sheetId="6" sqref="E35">
    <dxf>
      <fill>
        <patternFill patternType="solid">
          <bgColor rgb="FF00B0F0"/>
        </patternFill>
      </fill>
    </dxf>
  </rfmt>
  <rfmt sheetId="6" sqref="E28">
    <dxf>
      <fill>
        <patternFill patternType="solid">
          <bgColor rgb="FF00B0F0"/>
        </patternFill>
      </fill>
    </dxf>
  </rfmt>
  <rfmt sheetId="5" sqref="E22">
    <dxf>
      <fill>
        <patternFill patternType="solid">
          <bgColor rgb="FF00B0F0"/>
        </patternFill>
      </fill>
    </dxf>
  </rfmt>
  <rfmt sheetId="5" sqref="E18">
    <dxf>
      <fill>
        <patternFill patternType="solid">
          <bgColor rgb="FF00B0F0"/>
        </patternFill>
      </fill>
    </dxf>
  </rfmt>
  <rfmt sheetId="4" sqref="E96">
    <dxf>
      <fill>
        <patternFill patternType="solid">
          <bgColor rgb="FF00B0F0"/>
        </patternFill>
      </fill>
    </dxf>
  </rfmt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E44">
    <dxf>
      <fill>
        <patternFill patternType="solid">
          <bgColor rgb="FF00B0F0"/>
        </patternFill>
      </fill>
    </dxf>
  </rfmt>
  <rfmt sheetId="5" sqref="E21">
    <dxf>
      <fill>
        <patternFill patternType="solid">
          <bgColor rgb="FF00B0F0"/>
        </patternFill>
      </fill>
    </dxf>
  </rfmt>
  <rfmt sheetId="6" sqref="E72">
    <dxf>
      <fill>
        <patternFill patternType="solid">
          <bgColor rgb="FF00B0F0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73:C73">
    <dxf>
      <fill>
        <patternFill patternType="solid">
          <bgColor rgb="FFFFFF00"/>
        </patternFill>
      </fill>
    </dxf>
  </rfmt>
  <rfmt sheetId="5" sqref="A74:C74">
    <dxf>
      <fill>
        <patternFill patternType="solid">
          <bgColor rgb="FFFFFF00"/>
        </patternFill>
      </fill>
    </dxf>
  </rfmt>
  <rfmt sheetId="5" sqref="A7:C7">
    <dxf>
      <fill>
        <patternFill patternType="solid">
          <bgColor rgb="FFFFFF00"/>
        </patternFill>
      </fill>
    </dxf>
  </rfmt>
  <rfmt sheetId="5" sqref="A14:C14">
    <dxf>
      <fill>
        <patternFill patternType="solid">
          <bgColor rgb="FFFFFF00"/>
        </patternFill>
      </fill>
    </dxf>
  </rfmt>
  <rfmt sheetId="5" sqref="A15:C15">
    <dxf>
      <fill>
        <patternFill patternType="solid">
          <bgColor rgb="FFFFFF00"/>
        </patternFill>
      </fill>
    </dxf>
  </rfmt>
  <rfmt sheetId="5" sqref="A47:C47">
    <dxf>
      <fill>
        <patternFill patternType="solid">
          <bgColor rgb="FFFFFF00"/>
        </patternFill>
      </fill>
    </dxf>
  </rfmt>
  <rfmt sheetId="5" sqref="A80:C80">
    <dxf>
      <fill>
        <patternFill patternType="solid">
          <bgColor rgb="FFFFFF00"/>
        </patternFill>
      </fill>
    </dxf>
  </rfmt>
  <rfmt sheetId="5" sqref="A13:C13">
    <dxf>
      <fill>
        <patternFill patternType="solid">
          <bgColor rgb="FFFFFF00"/>
        </patternFill>
      </fill>
    </dxf>
  </rfmt>
  <rfmt sheetId="5" sqref="A32:C32">
    <dxf>
      <fill>
        <patternFill patternType="solid">
          <bgColor rgb="FFFFFF00"/>
        </patternFill>
      </fill>
    </dxf>
  </rfmt>
  <rfmt sheetId="5" sqref="A39:C39">
    <dxf>
      <fill>
        <patternFill patternType="solid">
          <bgColor rgb="FFFFFF00"/>
        </patternFill>
      </fill>
    </dxf>
  </rfmt>
  <rfmt sheetId="5" sqref="A31:C31">
    <dxf>
      <fill>
        <patternFill patternType="solid">
          <bgColor rgb="FFFFFF00"/>
        </patternFill>
      </fill>
    </dxf>
  </rfmt>
  <rfmt sheetId="5" sqref="A40:C40">
    <dxf>
      <fill>
        <patternFill patternType="solid">
          <bgColor rgb="FFFFFF00"/>
        </patternFill>
      </fill>
    </dxf>
  </rfmt>
  <rfmt sheetId="5" sqref="A19:C19">
    <dxf>
      <fill>
        <patternFill patternType="solid">
          <bgColor rgb="FFFFFF00"/>
        </patternFill>
      </fill>
    </dxf>
  </rfmt>
  <rfmt sheetId="5" sqref="A18:C18">
    <dxf>
      <fill>
        <patternFill patternType="solid">
          <bgColor rgb="FFFFFF00"/>
        </patternFill>
      </fill>
    </dxf>
  </rfmt>
  <rfmt sheetId="5" sqref="A20:C20">
    <dxf>
      <fill>
        <patternFill patternType="solid">
          <bgColor rgb="FFFFFF00"/>
        </patternFill>
      </fill>
    </dxf>
  </rfmt>
  <rfmt sheetId="5" sqref="A66:C66">
    <dxf>
      <fill>
        <patternFill patternType="solid">
          <bgColor rgb="FFFFFF00"/>
        </patternFill>
      </fill>
    </dxf>
  </rfmt>
  <rfmt sheetId="5" sqref="A67:C67">
    <dxf>
      <fill>
        <patternFill patternType="solid">
          <bgColor rgb="FFFFFF00"/>
        </patternFill>
      </fill>
    </dxf>
  </rfmt>
  <rfmt sheetId="5" sqref="A21:C21">
    <dxf>
      <fill>
        <patternFill patternType="solid">
          <bgColor rgb="FFFFFF00"/>
        </patternFill>
      </fill>
    </dxf>
  </rfmt>
  <rfmt sheetId="5" sqref="A22:C22">
    <dxf>
      <fill>
        <patternFill patternType="solid">
          <bgColor rgb="FFFFFF00"/>
        </patternFill>
      </fill>
    </dxf>
  </rfmt>
  <rfmt sheetId="6" sqref="A40:C40">
    <dxf>
      <fill>
        <patternFill patternType="solid">
          <bgColor rgb="FFFFFF00"/>
        </patternFill>
      </fill>
    </dxf>
  </rfmt>
  <rfmt sheetId="6" sqref="A20:C20">
    <dxf>
      <fill>
        <patternFill patternType="solid">
          <bgColor rgb="FFFFFF00"/>
        </patternFill>
      </fill>
    </dxf>
  </rfmt>
  <rfmt sheetId="6" sqref="A14:C14">
    <dxf>
      <fill>
        <patternFill patternType="solid">
          <bgColor rgb="FFFFFF00"/>
        </patternFill>
      </fill>
    </dxf>
  </rfmt>
  <rfmt sheetId="6" sqref="A13:C13">
    <dxf>
      <fill>
        <patternFill patternType="solid">
          <bgColor rgb="FFFFFF00"/>
        </patternFill>
      </fill>
    </dxf>
  </rfmt>
  <rfmt sheetId="7" sqref="A13:C13">
    <dxf>
      <fill>
        <patternFill patternType="solid">
          <bgColor rgb="FFFFFF00"/>
        </patternFill>
      </fill>
    </dxf>
  </rfmt>
  <rfmt sheetId="7" sqref="D13:E13" start="0" length="2147483647">
    <dxf>
      <font>
        <color rgb="FFFF0000"/>
      </font>
    </dxf>
  </rfmt>
  <rfmt sheetId="7" sqref="D13:E13">
    <dxf>
      <fill>
        <patternFill patternType="solid">
          <bgColor rgb="FFFF0000"/>
        </patternFill>
      </fill>
    </dxf>
  </rfmt>
  <rfmt sheetId="7" sqref="D13:E13">
    <dxf>
      <fill>
        <patternFill>
          <bgColor rgb="FFFFC000"/>
        </patternFill>
      </fill>
    </dxf>
  </rfmt>
  <rcc rId="2769" sId="7">
    <nc r="L13" t="inlineStr">
      <is>
        <t>Roads</t>
      </is>
    </nc>
  </rcc>
  <rfmt sheetId="7" sqref="L13">
    <dxf>
      <fill>
        <patternFill patternType="solid">
          <bgColor rgb="FFFF0000"/>
        </patternFill>
      </fill>
    </dxf>
  </rfmt>
  <rfmt sheetId="7" sqref="L13">
    <dxf>
      <fill>
        <patternFill>
          <bgColor rgb="FFFFFF00"/>
        </patternFill>
      </fill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27">
    <dxf>
      <fill>
        <patternFill patternType="solid">
          <bgColor rgb="FF00B0F0"/>
        </patternFill>
      </fill>
    </dxf>
  </rfmt>
  <rfmt sheetId="1" sqref="E34">
    <dxf>
      <fill>
        <patternFill patternType="solid">
          <bgColor rgb="FF00B0F0"/>
        </patternFill>
      </fill>
    </dxf>
  </rfmt>
  <rfmt sheetId="1" sqref="E16">
    <dxf>
      <fill>
        <patternFill patternType="solid">
          <bgColor rgb="FF00B0F0"/>
        </patternFill>
      </fill>
    </dxf>
  </rfmt>
  <rfmt sheetId="5" sqref="E42">
    <dxf>
      <fill>
        <patternFill patternType="solid">
          <bgColor rgb="FF00B0F0"/>
        </patternFill>
      </fill>
    </dxf>
  </rfmt>
  <rfmt sheetId="5" sqref="E43">
    <dxf>
      <fill>
        <patternFill patternType="solid">
          <bgColor rgb="FF00B0F0"/>
        </patternFill>
      </fill>
    </dxf>
  </rfmt>
  <rfmt sheetId="5" sqref="E45">
    <dxf>
      <fill>
        <patternFill patternType="solid">
          <bgColor rgb="FF00B0F0"/>
        </patternFill>
      </fill>
    </dxf>
  </rfmt>
  <rfmt sheetId="5" sqref="E46">
    <dxf>
      <fill>
        <patternFill patternType="solid">
          <bgColor rgb="FF00B0F0"/>
        </patternFill>
      </fill>
    </dxf>
  </rfmt>
  <rcc rId="3059" sId="5">
    <oc r="B33">
      <f>+'1-10'!R33</f>
    </oc>
    <nc r="B33" t="inlineStr">
      <is>
        <t>FDW 321 L</t>
      </is>
    </nc>
  </rcc>
  <rcc rId="3060" sId="5">
    <oc r="B34">
      <f>+'1-10'!R34</f>
    </oc>
    <nc r="B34" t="inlineStr">
      <is>
        <t>FDW 326 L</t>
      </is>
    </nc>
  </rcc>
  <rcc rId="3061" sId="5">
    <oc r="C33" t="inlineStr">
      <is>
        <t>632</t>
      </is>
    </oc>
    <nc r="C33"/>
  </rcc>
  <rcc rId="3062" sId="5">
    <oc r="C34" t="inlineStr">
      <is>
        <t>633</t>
      </is>
    </oc>
    <nc r="C34"/>
  </rcc>
  <rcc rId="3063" sId="5">
    <oc r="B35">
      <f>+'1-10'!R35</f>
    </oc>
    <nc r="B35" t="inlineStr">
      <is>
        <t>FDW 448 L</t>
      </is>
    </nc>
  </rcc>
  <rcc rId="3064" sId="5">
    <oc r="B36">
      <f>+'1-10'!R36</f>
    </oc>
    <nc r="B36" t="inlineStr">
      <is>
        <t>FDX 372 L</t>
      </is>
    </nc>
  </rcc>
  <rcc rId="3065" sId="5">
    <oc r="C35" t="inlineStr">
      <is>
        <t>634</t>
      </is>
    </oc>
    <nc r="C35"/>
  </rcc>
  <rcc rId="3066" sId="5">
    <oc r="C36" t="inlineStr">
      <is>
        <t>635</t>
      </is>
    </oc>
    <nc r="C36"/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67" sId="6" ref="A55:XFD55" action="insertRow">
    <undo index="65535" exp="area" ref3D="1" dr="$A$140:$XFD$140" dn="Z_DF69299D_7752_4436_A45D_28F739CEE21B_.wvu.Rows" sId="6"/>
    <undo index="65535" exp="area" ref3D="1" dr="$A$140:$XFD$140" dn="Z_6C0BD6A7_6718_429D_82D9_D2FE0341EA2C_.wvu.Rows" sId="6"/>
    <undo index="65535" exp="area" ref3D="1" dr="$A$140:$XFD$140" dn="Z_594C4AB0_8D5F_4373_9663_410F4413FE3A_.wvu.Rows" sId="6"/>
    <undo index="65535" exp="area" ref3D="1" dr="$P$1:$P$1048576" dn="Z_DF69299D_7752_4436_A45D_28F739CEE21B_.wvu.Cols" sId="6"/>
  </rrc>
  <rcc rId="3068" sId="6">
    <nc r="A55" t="inlineStr">
      <is>
        <t>BELL Motor Grader</t>
      </is>
    </nc>
  </rcc>
  <rcc rId="3069" sId="6">
    <nc r="B55" t="inlineStr">
      <is>
        <t>FNP 871 L</t>
      </is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="1" sqref="H55" start="0" length="0">
    <dxf>
      <numFmt numFmtId="167" formatCode="#,##0;[Red]#,##0"/>
      <alignment horizontal="center"/>
    </dxf>
  </rfmt>
  <rfmt sheetId="6" sqref="I55" start="0" length="0">
    <dxf>
      <fill>
        <patternFill>
          <bgColor rgb="FF00B0F0"/>
        </patternFill>
      </fill>
    </dxf>
  </rfmt>
  <rfmt sheetId="6" sqref="M55" start="0" length="0">
    <dxf>
      <fill>
        <patternFill patternType="solid">
          <bgColor rgb="FFFF0000"/>
        </patternFill>
      </fill>
    </dxf>
  </rfmt>
  <rfmt sheetId="6" sqref="N55" start="0" length="0">
    <dxf>
      <font>
        <b val="0"/>
        <sz val="8"/>
        <name val="Consolas"/>
        <family val="3"/>
      </font>
    </dxf>
  </rfmt>
  <rfmt sheetId="6" sqref="P55" start="0" length="0">
    <dxf>
      <border outline="0">
        <right style="thin">
          <color indexed="64"/>
        </right>
      </border>
    </dxf>
  </rfmt>
  <rcc rId="3070" sId="6" odxf="1" dxf="1">
    <nc r="Q55">
      <f>SUM(I55:P55)</f>
    </nc>
    <odxf>
      <alignment horizontal="center" vertical="top"/>
      <border outline="0">
        <left/>
        <right/>
        <top/>
        <bottom/>
      </border>
    </odxf>
    <ndxf>
      <alignment horizontal="general"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1" sId="6" odxf="1" s="1" dxf="1">
    <nc r="R55">
      <f>Q55/CALC!$A$8*CALC!$A$6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font>
        <b/>
        <sz val="8"/>
        <color auto="1"/>
        <name val="Consolas"/>
        <family val="3"/>
        <scheme val="none"/>
      </font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2" sId="6" odxf="1" s="1" dxf="1">
    <nc r="S55">
      <f>+Q55+R55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3" sId="6" numFmtId="4">
    <nc r="D55">
      <v>1500</v>
    </nc>
  </rcc>
  <rcc rId="3074" sId="6">
    <nc r="E55">
      <f>+D55/P55*(CALC!$A$4)</f>
    </nc>
  </rcc>
  <rcc rId="3075" sId="6" numFmtId="34">
    <nc r="F55">
      <v>23400</v>
    </nc>
  </rcc>
  <rcc rId="3076" sId="6">
    <nc r="G55">
      <f>33000*(1+CALC!$A$2)</f>
    </nc>
  </rcc>
  <rcc rId="3077" sId="6" odxf="1" s="1" dxf="1" numFmtId="34">
    <nc r="H55">
      <f>630000</f>
    </nc>
    <ndxf>
      <numFmt numFmtId="35" formatCode="_(* #,##0.00_);_(* \(#,##0.00\);_(* &quot;-&quot;??_);_(@_)"/>
      <alignment horizontal="general"/>
    </ndxf>
  </rcc>
  <rcc rId="3078" sId="6" odxf="1" dxf="1">
    <nc r="I55">
      <f>0.75*358758.05</f>
    </nc>
    <ndxf>
      <fill>
        <patternFill>
          <bgColor rgb="FFFF0000"/>
        </patternFill>
      </fill>
    </ndxf>
  </rcc>
  <rcc rId="3079" sId="6" numFmtId="34">
    <nc r="J55">
      <v>0</v>
    </nc>
  </rcc>
  <rcc rId="3080" sId="6" numFmtId="34">
    <nc r="K55">
      <v>240</v>
    </nc>
  </rcc>
  <rcc rId="3081" sId="6" odxf="1" dxf="1">
    <nc r="M55">
      <f>SUM(E55:L55)</f>
    </nc>
    <ndxf>
      <fill>
        <patternFill patternType="none">
          <bgColor indexed="65"/>
        </patternFill>
      </fill>
    </ndxf>
  </rcc>
  <rcc rId="3082" sId="6" odxf="1" dxf="1" numFmtId="34">
    <nc r="N55">
      <f>M55/CALC!$A$8*CALC!$A$6</f>
    </nc>
    <ndxf>
      <font>
        <b/>
        <sz val="8"/>
        <name val="Consolas"/>
        <family val="3"/>
      </font>
    </ndxf>
  </rcc>
  <rcc rId="3083" sId="6" numFmtId="34">
    <nc r="O55">
      <f>+M55+N55</f>
    </nc>
  </rcc>
  <rcc rId="3084" sId="6" numFmtId="34">
    <nc r="P55">
      <v>0.7</v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34">
    <dxf>
      <fill>
        <patternFill patternType="solid">
          <bgColor rgb="FF92D050"/>
        </patternFill>
      </fill>
    </dxf>
  </rfmt>
  <rfmt sheetId="5" sqref="F35">
    <dxf>
      <fill>
        <patternFill patternType="solid">
          <bgColor rgb="FF92D050"/>
        </patternFill>
      </fill>
    </dxf>
  </rfmt>
  <rfmt sheetId="5" sqref="F36">
    <dxf>
      <fill>
        <patternFill patternType="solid">
          <bgColor rgb="FF92D050"/>
        </patternFill>
      </fill>
    </dxf>
  </rfmt>
  <rfmt sheetId="5" sqref="F42">
    <dxf>
      <fill>
        <patternFill patternType="solid">
          <bgColor rgb="FF92D050"/>
        </patternFill>
      </fill>
    </dxf>
  </rfmt>
  <rfmt sheetId="5" sqref="F46">
    <dxf>
      <fill>
        <patternFill patternType="solid">
          <bgColor rgb="FF92D050"/>
        </patternFill>
      </fill>
    </dxf>
  </rfmt>
  <rfmt sheetId="5" sqref="F43">
    <dxf>
      <fill>
        <patternFill patternType="solid">
          <bgColor rgb="FF92D050"/>
        </patternFill>
      </fill>
    </dxf>
  </rfmt>
  <rfmt sheetId="5" sqref="F33">
    <dxf>
      <fill>
        <patternFill patternType="solid">
          <bgColor rgb="FF92D050"/>
        </patternFill>
      </fill>
    </dxf>
  </rfmt>
  <rcc rId="3109" sId="5" odxf="1" dxf="1" numFmtId="34">
    <oc r="F33">
      <v>0</v>
    </oc>
    <nc r="F33">
      <v>23400</v>
    </nc>
    <odxf>
      <font>
        <sz val="8"/>
        <color rgb="FFFF0000"/>
        <name val="Consolas"/>
        <family val="3"/>
      </font>
      <fill>
        <patternFill patternType="solid">
          <bgColor rgb="FF92D050"/>
        </patternFill>
      </fill>
    </odxf>
    <ndxf>
      <font>
        <sz val="8"/>
        <color rgb="FFFF0000"/>
        <name val="Consolas"/>
        <family val="3"/>
      </font>
      <fill>
        <patternFill patternType="none">
          <bgColor indexed="65"/>
        </patternFill>
      </fill>
    </ndxf>
  </rcc>
  <rcc rId="3110" sId="5" odxf="1" dxf="1" numFmtId="34">
    <oc r="F34">
      <v>0</v>
    </oc>
    <nc r="F34">
      <v>23400</v>
    </nc>
    <odxf>
      <font>
        <sz val="8"/>
        <color rgb="FFFF0000"/>
        <name val="Consolas"/>
        <family val="3"/>
      </font>
      <fill>
        <patternFill patternType="solid">
          <bgColor rgb="FF92D050"/>
        </patternFill>
      </fill>
    </odxf>
    <ndxf>
      <font>
        <sz val="8"/>
        <color rgb="FFFF0000"/>
        <name val="Consolas"/>
        <family val="3"/>
      </font>
      <fill>
        <patternFill patternType="none">
          <bgColor indexed="65"/>
        </patternFill>
      </fill>
    </ndxf>
  </rcc>
  <rcc rId="3111" sId="5" odxf="1" dxf="1" numFmtId="34">
    <oc r="F35">
      <v>0</v>
    </oc>
    <nc r="F35">
      <v>23400</v>
    </nc>
    <odxf>
      <fill>
        <patternFill patternType="solid">
          <bgColor rgb="FF92D050"/>
        </patternFill>
      </fill>
    </odxf>
    <ndxf>
      <fill>
        <patternFill patternType="none">
          <bgColor indexed="65"/>
        </patternFill>
      </fill>
    </ndxf>
  </rcc>
  <rcc rId="3112" sId="5" odxf="1" dxf="1" numFmtId="34">
    <oc r="F36">
      <v>0</v>
    </oc>
    <nc r="F36">
      <v>23400</v>
    </nc>
    <odxf>
      <font>
        <sz val="8"/>
        <color rgb="FFFF0000"/>
        <name val="Consolas"/>
        <family val="3"/>
      </font>
      <fill>
        <patternFill patternType="solid">
          <bgColor rgb="FF92D050"/>
        </patternFill>
      </fill>
    </odxf>
    <ndxf>
      <font>
        <sz val="8"/>
        <color rgb="FFFF0000"/>
        <name val="Consolas"/>
        <family val="3"/>
      </font>
      <fill>
        <patternFill patternType="none">
          <bgColor indexed="65"/>
        </patternFill>
      </fill>
    </ndxf>
  </rcc>
  <rfmt sheetId="5" sqref="F45">
    <dxf>
      <fill>
        <patternFill patternType="solid">
          <bgColor rgb="FF92D050"/>
        </patternFill>
      </fill>
    </dxf>
  </rfmt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3" sId="5" numFmtId="34">
    <oc r="K33">
      <v>0</v>
    </oc>
    <nc r="K33">
      <v>1200</v>
    </nc>
  </rcc>
  <rcc rId="3114" sId="5" numFmtId="34">
    <oc r="K34">
      <v>0</v>
    </oc>
    <nc r="K34">
      <v>1200</v>
    </nc>
  </rcc>
  <rcc rId="3115" sId="5" numFmtId="34">
    <oc r="K35">
      <v>0</v>
    </oc>
    <nc r="K35">
      <v>1200</v>
    </nc>
  </rcc>
  <rcc rId="3116" sId="5" numFmtId="34">
    <oc r="K36">
      <v>0</v>
    </oc>
    <nc r="K36">
      <v>1200</v>
    </nc>
  </rcc>
  <rcc rId="3117" sId="5" numFmtId="34">
    <oc r="H33">
      <v>0</v>
    </oc>
    <nc r="H33">
      <v>10000</v>
    </nc>
  </rcc>
  <rcc rId="3118" sId="5" numFmtId="34">
    <oc r="H34">
      <v>0</v>
    </oc>
    <nc r="H34">
      <v>10000</v>
    </nc>
  </rcc>
  <rcc rId="3119" sId="5" odxf="1" dxf="1" numFmtId="34">
    <oc r="H35">
      <v>0</v>
    </oc>
    <nc r="H35">
      <v>10000</v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120" sId="5" numFmtId="34">
    <oc r="H36">
      <v>0</v>
    </oc>
    <nc r="H36">
      <v>10000</v>
    </nc>
  </rcc>
  <rcc rId="3121" sId="5" numFmtId="4">
    <oc r="D33">
      <v>0</v>
    </oc>
    <nc r="D33">
      <v>25000</v>
    </nc>
  </rcc>
  <rcc rId="3122" sId="5" odxf="1" dxf="1" numFmtId="4">
    <oc r="D34">
      <v>0</v>
    </oc>
    <nc r="D34">
      <v>25000</v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3123" sId="5" odxf="1" dxf="1" numFmtId="4">
    <oc r="D35">
      <v>0</v>
    </oc>
    <nc r="D35">
      <v>25000</v>
    </nc>
    <odxf>
      <font>
        <sz val="8"/>
        <name val="Consolas"/>
        <family val="3"/>
      </font>
      <fill>
        <patternFill patternType="solid">
          <bgColor rgb="FFFFC000"/>
        </patternFill>
      </fill>
    </odxf>
    <ndxf>
      <font>
        <sz val="8"/>
        <color rgb="FFFF0000"/>
        <name val="Consolas"/>
        <family val="3"/>
      </font>
      <fill>
        <patternFill patternType="none">
          <bgColor indexed="65"/>
        </patternFill>
      </fill>
    </ndxf>
  </rcc>
  <rcc rId="3124" sId="5" odxf="1" dxf="1" numFmtId="4">
    <oc r="D36">
      <v>0</v>
    </oc>
    <nc r="D36">
      <v>25000</v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5" sId="6">
    <oc r="E56">
      <f>SUM(E53:E54)</f>
    </oc>
    <nc r="E56">
      <f>SUM(E53:E55)</f>
    </nc>
  </rcc>
  <rcc rId="3126" sId="6">
    <oc r="F56">
      <f>SUM(F53:F54)</f>
    </oc>
    <nc r="F56">
      <f>SUM(F53:F55)</f>
    </nc>
  </rcc>
  <rcc rId="3127" sId="6">
    <oc r="G56">
      <f>SUM(G53:G54)</f>
    </oc>
    <nc r="G56">
      <f>SUM(G53:G55)</f>
    </nc>
  </rcc>
  <rcc rId="3128" sId="6">
    <oc r="H56">
      <f>SUM(H53:H54)</f>
    </oc>
    <nc r="H56">
      <f>SUM(H53:H55)</f>
    </nc>
  </rcc>
  <rcc rId="3129" sId="6">
    <oc r="I56">
      <f>SUM(I53:I54)</f>
    </oc>
    <nc r="I56">
      <f>SUM(I53:I55)</f>
    </nc>
  </rcc>
  <rcc rId="3130" sId="6">
    <oc r="J56">
      <f>SUM(J53:J54)</f>
    </oc>
    <nc r="J56">
      <f>SUM(J53:J55)</f>
    </nc>
  </rcc>
  <rcc rId="3131" sId="6">
    <oc r="K56">
      <f>SUM(K53:K54)</f>
    </oc>
    <nc r="K56">
      <f>SUM(K53:K55)</f>
    </nc>
  </rcc>
  <rcc rId="3132" sId="6">
    <oc r="L56">
      <f>SUM(L53:L54)</f>
    </oc>
    <nc r="L56">
      <f>SUM(L53:L55)</f>
    </nc>
  </rcc>
  <rcc rId="3133" sId="6">
    <oc r="M56">
      <f>SUM(M53:M54)</f>
    </oc>
    <nc r="M56">
      <f>SUM(M53:M55)</f>
    </nc>
  </rcc>
  <rcc rId="3134" sId="6">
    <oc r="N56">
      <f>SUM(N53:N54)</f>
    </oc>
    <nc r="N56">
      <f>SUM(N53:N55)</f>
    </nc>
  </rcc>
  <rcc rId="3135" sId="6">
    <oc r="O56">
      <f>SUM(O53:O54)</f>
    </oc>
    <nc r="O56">
      <f>SUM(O53:O55)</f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6" sId="6" numFmtId="34">
    <oc r="P55">
      <v>0.7</v>
    </oc>
    <nc r="P55">
      <v>7.0000000000000007E-2</v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" sId="4">
    <nc r="B73" t="inlineStr">
      <is>
        <t>FNY 389 L</t>
      </is>
    </nc>
  </rcc>
  <rcc rId="3162" sId="4" numFmtId="4">
    <nc r="D73">
      <v>40000</v>
    </nc>
  </rcc>
  <rcc rId="3163" sId="4" odxf="1" dxf="1">
    <nc r="E73">
      <f>+D73/P73*(CALC!$A$4)</f>
    </nc>
    <odxf>
      <fill>
        <patternFill patternType="none">
          <bgColor indexed="65"/>
        </patternFill>
      </fill>
    </odxf>
    <ndxf>
      <fill>
        <patternFill patternType="solid">
          <bgColor rgb="FF00B0F0"/>
        </patternFill>
      </fill>
    </ndxf>
  </rcc>
  <rcc rId="3164" sId="4" numFmtId="34">
    <nc r="F73">
      <v>23400</v>
    </nc>
  </rcc>
  <rcc rId="3165" sId="4" odxf="1" dxf="1">
    <nc r="G73">
      <f>21800*(1+CALC!$A$2)</f>
    </nc>
    <odxf>
      <fill>
        <patternFill patternType="none">
          <bgColor indexed="65"/>
        </patternFill>
      </fill>
    </odxf>
    <ndxf>
      <fill>
        <patternFill patternType="solid">
          <bgColor theme="6"/>
        </patternFill>
      </fill>
    </ndxf>
  </rcc>
  <rcc rId="3166" sId="4" numFmtId="34">
    <nc r="H73">
      <v>60000</v>
    </nc>
  </rcc>
  <rcc rId="3167" sId="4" odxf="1" dxf="1">
    <nc r="I73">
      <f>878480/8</f>
    </nc>
    <odxf>
      <fill>
        <patternFill patternType="none">
          <bgColor indexed="65"/>
        </patternFill>
      </fill>
    </odxf>
    <ndxf>
      <fill>
        <patternFill patternType="solid">
          <bgColor theme="6"/>
        </patternFill>
      </fill>
    </ndxf>
  </rcc>
  <rfmt sheetId="4" sqref="J73" start="0" length="0">
    <dxf>
      <fill>
        <patternFill patternType="solid">
          <bgColor theme="6"/>
        </patternFill>
      </fill>
    </dxf>
  </rfmt>
  <rcc rId="3168" sId="4" odxf="1" dxf="1" numFmtId="34">
    <nc r="K73">
      <v>10200</v>
    </nc>
    <odxf>
      <fill>
        <patternFill patternType="none">
          <bgColor indexed="65"/>
        </patternFill>
      </fill>
    </odxf>
    <ndxf>
      <fill>
        <patternFill patternType="solid">
          <bgColor theme="6"/>
        </patternFill>
      </fill>
    </ndxf>
  </rcc>
  <rfmt sheetId="4" sqref="L73" start="0" length="0">
    <dxf>
      <fill>
        <patternFill patternType="solid">
          <bgColor theme="6"/>
        </patternFill>
      </fill>
    </dxf>
  </rfmt>
  <rcc rId="3169" sId="4" odxf="1" dxf="1">
    <nc r="M73">
      <f>SUM(E73:L73)</f>
    </nc>
    <odxf>
      <fill>
        <patternFill patternType="none">
          <bgColor indexed="65"/>
        </patternFill>
      </fill>
    </odxf>
    <ndxf>
      <fill>
        <patternFill patternType="solid">
          <bgColor theme="6"/>
        </patternFill>
      </fill>
    </ndxf>
  </rcc>
  <rcc rId="3170" sId="4" odxf="1" dxf="1">
    <nc r="N73">
      <f>M73/CALC!$A$8*CALC!$A$6</f>
    </nc>
    <odxf>
      <fill>
        <patternFill patternType="none">
          <bgColor indexed="65"/>
        </patternFill>
      </fill>
    </odxf>
    <ndxf>
      <fill>
        <patternFill patternType="solid">
          <bgColor theme="6"/>
        </patternFill>
      </fill>
    </ndxf>
  </rcc>
  <rcc rId="3171" sId="4" odxf="1" dxf="1">
    <nc r="O73">
      <f>+M73+N73</f>
    </nc>
    <odxf>
      <fill>
        <patternFill patternType="none">
          <bgColor indexed="65"/>
        </patternFill>
      </fill>
    </odxf>
    <ndxf>
      <fill>
        <patternFill patternType="solid">
          <bgColor theme="6"/>
        </patternFill>
      </fill>
    </ndxf>
  </rcc>
  <rcc rId="3172" sId="4" odxf="1" dxf="1" numFmtId="34">
    <nc r="P73">
      <v>3.57</v>
    </nc>
    <odxf>
      <fill>
        <patternFill patternType="none">
          <bgColor indexed="65"/>
        </patternFill>
      </fill>
    </odxf>
    <ndxf>
      <fill>
        <patternFill patternType="solid">
          <bgColor theme="6"/>
        </patternFill>
      </fill>
    </ndxf>
  </rcc>
  <rfmt sheetId="4" sqref="F73">
    <dxf>
      <fill>
        <patternFill patternType="solid">
          <bgColor rgb="FF92D050"/>
        </patternFill>
      </fill>
    </dxf>
  </rfmt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33:E36">
    <dxf>
      <fill>
        <patternFill patternType="solid">
          <bgColor rgb="FF00B0F0"/>
        </patternFill>
      </fill>
    </dxf>
  </rfmt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33">
    <dxf>
      <fill>
        <patternFill>
          <bgColor rgb="FF7030A0"/>
        </patternFill>
      </fill>
    </dxf>
  </rfmt>
  <rcc rId="3198" sId="6">
    <oc r="A111" t="inlineStr">
      <is>
        <t>MASSEY FERGUSON</t>
      </is>
    </oc>
    <nc r="A111" t="inlineStr">
      <is>
        <t>MASSEY FERGUSON DLG 104 N</t>
      </is>
    </nc>
  </rcc>
  <rcc rId="3199" sId="6">
    <oc r="B111" t="inlineStr">
      <is>
        <t>DLG 104 N [063]</t>
      </is>
    </oc>
    <nc r="B111" t="inlineStr">
      <is>
        <t>DMY 782 L [063]</t>
      </is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  <oldFormula>'COMMUNITY SERV'!$P:$P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A59:C59">
    <dxf>
      <fill>
        <patternFill patternType="solid">
          <bgColor rgb="FFFFFF00"/>
        </patternFill>
      </fill>
    </dxf>
  </rfmt>
  <rfmt sheetId="6" sqref="A60:C60">
    <dxf>
      <fill>
        <patternFill patternType="solid">
          <bgColor rgb="FFFFFF00"/>
        </patternFill>
      </fill>
    </dxf>
  </rfmt>
  <rfmt sheetId="6" sqref="A71:C71">
    <dxf>
      <fill>
        <patternFill patternType="solid">
          <bgColor rgb="FFFFFF00"/>
        </patternFill>
      </fill>
    </dxf>
  </rfmt>
  <rfmt sheetId="6" sqref="A46:C46">
    <dxf>
      <fill>
        <patternFill patternType="solid">
          <bgColor rgb="FFFFFF00"/>
        </patternFill>
      </fill>
    </dxf>
  </rfmt>
  <rfmt sheetId="6" sqref="A47:C47">
    <dxf>
      <fill>
        <patternFill patternType="solid">
          <bgColor rgb="FFFFFF00"/>
        </patternFill>
      </fill>
    </dxf>
  </rfmt>
  <rfmt sheetId="6" sqref="A30:C30">
    <dxf>
      <fill>
        <patternFill patternType="solid">
          <bgColor rgb="FFFFFF00"/>
        </patternFill>
      </fill>
    </dxf>
  </rfmt>
  <rfmt sheetId="6" sqref="A35:C35">
    <dxf>
      <fill>
        <patternFill patternType="solid">
          <bgColor rgb="FFFFFF00"/>
        </patternFill>
      </fill>
    </dxf>
  </rfmt>
  <rfmt sheetId="6" sqref="A72:C72">
    <dxf>
      <fill>
        <patternFill patternType="solid">
          <bgColor rgb="FFFFFF00"/>
        </patternFill>
      </fill>
    </dxf>
  </rfmt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5" sId="4">
    <oc r="B35" t="inlineStr">
      <is>
        <t>FORD TRACTOR</t>
      </is>
    </oc>
    <nc r="B35" t="inlineStr">
      <is>
        <t>FORD TRACTOR DLV 293 N</t>
      </is>
    </nc>
  </rcc>
  <rcc rId="3226" sId="4">
    <oc r="A35" t="inlineStr">
      <is>
        <t>DLV 293 N</t>
      </is>
    </oc>
    <nc r="A35" t="inlineStr">
      <is>
        <t>DMY 792 L</t>
      </is>
    </nc>
  </rcc>
  <rfmt sheetId="4" sqref="E34">
    <dxf>
      <fill>
        <patternFill>
          <bgColor rgb="FF7030A0"/>
        </patternFill>
      </fill>
    </dxf>
  </rfmt>
  <rfmt sheetId="4" sqref="E37">
    <dxf>
      <fill>
        <patternFill>
          <bgColor rgb="FF7030A0"/>
        </patternFill>
      </fill>
    </dxf>
  </rfmt>
  <rcc rId="3227" sId="4">
    <oc r="A37" t="inlineStr">
      <is>
        <t>DWD 352 N</t>
      </is>
    </oc>
    <nc r="A37" t="inlineStr">
      <is>
        <t>DMY 731 L</t>
      </is>
    </nc>
  </rcc>
  <rcc rId="3228" sId="4">
    <oc r="B37" t="inlineStr">
      <is>
        <t>NEW HOLLAND</t>
      </is>
    </oc>
    <nc r="B37" t="inlineStr">
      <is>
        <t>NEW HOLLAND DWD352N</t>
      </is>
    </nc>
  </rcc>
  <rcc rId="3229" sId="4">
    <oc r="B33" t="inlineStr">
      <is>
        <t>FORD TRACTOR</t>
      </is>
    </oc>
    <nc r="B33" t="inlineStr">
      <is>
        <t>FORD TRACTOR BGC439N</t>
      </is>
    </nc>
  </rcc>
  <rcc rId="3230" sId="4">
    <oc r="A33" t="inlineStr">
      <is>
        <t>BGC 439 N</t>
      </is>
    </oc>
    <nc r="A33" t="inlineStr">
      <is>
        <t>DMY 713 L</t>
      </is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1" sId="4">
    <oc r="B38" t="inlineStr">
      <is>
        <t>NEW HOLLAND</t>
      </is>
    </oc>
    <nc r="B38" t="inlineStr">
      <is>
        <t>NEW HOLLAND DZF646N</t>
      </is>
    </nc>
  </rcc>
  <rcc rId="3232" sId="4">
    <oc r="A38" t="inlineStr">
      <is>
        <t>DZF 646 N</t>
      </is>
    </oc>
    <nc r="A38" t="inlineStr">
      <is>
        <t>DMY 736 L</t>
      </is>
    </nc>
  </rcc>
  <rfmt sheetId="4" sqref="E38">
    <dxf>
      <fill>
        <patternFill>
          <bgColor rgb="FF7030A0"/>
        </patternFill>
      </fill>
    </dxf>
  </rfmt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35">
    <dxf>
      <fill>
        <patternFill>
          <bgColor rgb="FF7030A0"/>
        </patternFill>
      </fill>
    </dxf>
  </rfmt>
  <rcc rId="3233" sId="4">
    <oc r="A34" t="inlineStr">
      <is>
        <t>DKN 792 N [105]</t>
      </is>
    </oc>
    <nc r="A34" t="inlineStr">
      <is>
        <t>DKN 792 L [105]</t>
      </is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4" sId="4">
    <oc r="K33">
      <v>390</v>
    </oc>
    <nc r="K33">
      <f>258*1.1</f>
    </nc>
  </rcc>
  <rcc rId="3235" sId="4" numFmtId="34">
    <oc r="K38">
      <v>390</v>
    </oc>
    <nc r="K38">
      <f>258*1.1</f>
    </nc>
  </rcc>
  <rcc rId="3236" sId="4" numFmtId="34">
    <oc r="K37">
      <v>390</v>
    </oc>
    <nc r="K37">
      <f>258*1.1</f>
    </nc>
  </rcc>
  <rcc rId="3237" sId="6" numFmtId="34">
    <oc r="K111">
      <v>390</v>
    </oc>
    <nc r="K111">
      <f>258*1.1</f>
    </nc>
  </rcc>
  <rfmt sheetId="6" sqref="K111">
    <dxf>
      <fill>
        <patternFill>
          <bgColor rgb="FF7030A0"/>
        </patternFill>
      </fill>
    </dxf>
  </rfmt>
  <rfmt sheetId="4" sqref="K33">
    <dxf>
      <fill>
        <patternFill>
          <bgColor rgb="FF7030A0"/>
        </patternFill>
      </fill>
    </dxf>
  </rfmt>
  <rfmt sheetId="4" sqref="K37:K38">
    <dxf>
      <fill>
        <patternFill>
          <bgColor rgb="FF7030A0"/>
        </patternFill>
      </fill>
    </dxf>
  </rfmt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8" sId="4" numFmtId="34">
    <oc r="K73">
      <v>10200</v>
    </oc>
    <nc r="K73">
      <f>18414*1.1</f>
    </nc>
  </rcc>
  <rfmt sheetId="4" sqref="K73">
    <dxf>
      <fill>
        <patternFill>
          <bgColor rgb="FF7030A0"/>
        </patternFill>
      </fill>
    </dxf>
  </rfmt>
  <rcc rId="3239" sId="1">
    <oc r="K15">
      <f>1000</f>
    </oc>
    <nc r="K15">
      <f>1110*1.1</f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0" sId="4" numFmtId="34">
    <oc r="K89">
      <v>2400</v>
    </oc>
    <nc r="K89">
      <f>2460*1.1</f>
    </nc>
  </rcc>
  <rfmt sheetId="4" sqref="K89">
    <dxf>
      <fill>
        <patternFill patternType="solid">
          <bgColor rgb="FF7030A0"/>
        </patternFill>
      </fill>
    </dxf>
  </rfmt>
  <rcc rId="3241" sId="4" odxf="1" dxf="1" numFmtId="34">
    <oc r="K90">
      <v>2400</v>
    </oc>
    <nc r="K90">
      <f>2460*1.1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  <rcc rId="3242" sId="4" odxf="1" dxf="1" numFmtId="34">
    <oc r="K91">
      <v>2400</v>
    </oc>
    <nc r="K91">
      <f>2460*1.1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K20">
    <dxf>
      <fill>
        <patternFill patternType="solid">
          <bgColor rgb="FF7030A0"/>
        </patternFill>
      </fill>
    </dxf>
  </rfmt>
  <rcc rId="3243" sId="6">
    <oc r="K20">
      <v>10500</v>
    </oc>
    <nc r="K20">
      <f>1110*1.06</f>
    </nc>
  </rcc>
  <rcc rId="3244" sId="6" odxf="1" dxf="1" numFmtId="34">
    <oc r="K21">
      <v>10500</v>
    </oc>
    <nc r="K21">
      <f>1110*1.06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  <rcc rId="3245" sId="6" odxf="1" dxf="1" numFmtId="34">
    <oc r="K22">
      <v>10500</v>
    </oc>
    <nc r="K22">
      <f>1110*1.06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  <rcc rId="3246" sId="4">
    <oc r="K13">
      <f>8500</f>
    </oc>
    <nc r="K13">
      <f>1110*1.06</f>
    </nc>
  </rcc>
  <rfmt sheetId="4" sqref="K13">
    <dxf>
      <fill>
        <patternFill patternType="solid">
          <bgColor rgb="FF7030A0"/>
        </patternFill>
      </fill>
    </dxf>
  </rfmt>
  <rcc rId="3247" sId="4" odxf="1" dxf="1">
    <oc r="K14">
      <f>8500</f>
    </oc>
    <nc r="K14">
      <f>1110*1.06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  <rfmt sheetId="4" sqref="K13">
    <dxf>
      <fill>
        <patternFill>
          <bgColor theme="0"/>
        </patternFill>
      </fill>
    </dxf>
  </rfmt>
  <rcc rId="3248" sId="6" numFmtId="34">
    <oc r="K60">
      <v>600</v>
    </oc>
    <nc r="K60">
      <f>168*1.06</f>
    </nc>
  </rcc>
  <rcc rId="3249" sId="6" numFmtId="34">
    <oc r="K61">
      <v>600</v>
    </oc>
    <nc r="K61">
      <f>168*1.06</f>
    </nc>
  </rcc>
  <rfmt sheetId="6" sqref="K60:K61">
    <dxf>
      <fill>
        <patternFill patternType="solid">
          <bgColor rgb="FF7030A0"/>
        </patternFill>
      </fill>
    </dxf>
  </rfmt>
  <rcc rId="3250" sId="1" numFmtId="34">
    <oc r="K22">
      <v>600</v>
    </oc>
    <nc r="K22">
      <f>474*1.06</f>
    </nc>
  </rcc>
  <rfmt sheetId="1" sqref="K22">
    <dxf>
      <fill>
        <patternFill patternType="solid">
          <bgColor rgb="FF7030A0"/>
        </patternFill>
      </fill>
    </dxf>
  </rfmt>
  <rcc rId="3251" sId="4" numFmtId="34">
    <oc r="K78">
      <v>960</v>
    </oc>
    <nc r="K78">
      <f>678*1.06</f>
    </nc>
  </rcc>
  <rfmt sheetId="4" sqref="K78">
    <dxf>
      <fill>
        <patternFill patternType="solid">
          <bgColor rgb="FF7030A0"/>
        </patternFill>
      </fill>
    </dxf>
  </rfmt>
  <rcc rId="3252" sId="4" numFmtId="34">
    <oc r="K79">
      <v>960</v>
    </oc>
    <nc r="K79">
      <f>678*1.06</f>
    </nc>
  </rcc>
  <rcc rId="3253" sId="4" numFmtId="34">
    <oc r="K80">
      <v>960</v>
    </oc>
    <nc r="K80">
      <f>678*1.06</f>
    </nc>
  </rcc>
  <rcc rId="3254" sId="4" numFmtId="34">
    <oc r="K81">
      <v>960</v>
    </oc>
    <nc r="K81">
      <f>678*1.06</f>
    </nc>
  </rcc>
  <rcc rId="3255" sId="4" numFmtId="34">
    <oc r="K82">
      <v>960</v>
    </oc>
    <nc r="K82">
      <f>678*1.06</f>
    </nc>
  </rcc>
  <rcc rId="3256" sId="4" numFmtId="34">
    <oc r="K83">
      <v>960</v>
    </oc>
    <nc r="K83">
      <f>678*1.06</f>
    </nc>
  </rcc>
  <rfmt sheetId="4" sqref="K82">
    <dxf>
      <fill>
        <patternFill patternType="solid">
          <bgColor rgb="FF7030A0"/>
        </patternFill>
      </fill>
    </dxf>
  </rfmt>
  <rfmt sheetId="4" sqref="K83">
    <dxf>
      <fill>
        <patternFill patternType="solid">
          <bgColor rgb="FF7030A0"/>
        </patternFill>
      </fill>
    </dxf>
  </rfmt>
  <rfmt sheetId="4" sqref="K81">
    <dxf>
      <fill>
        <patternFill patternType="solid">
          <bgColor rgb="FF7030A0"/>
        </patternFill>
      </fill>
    </dxf>
  </rfmt>
  <rfmt sheetId="4" sqref="K80">
    <dxf>
      <fill>
        <patternFill patternType="solid">
          <bgColor rgb="FF7030A0"/>
        </patternFill>
      </fill>
    </dxf>
  </rfmt>
  <rfmt sheetId="4" sqref="K79">
    <dxf>
      <fill>
        <patternFill patternType="solid">
          <bgColor rgb="FF7030A0"/>
        </patternFill>
      </fill>
    </dxf>
  </rfmt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7" sId="7" numFmtId="34">
    <oc r="K11">
      <v>960</v>
    </oc>
    <nc r="K11">
      <f>678*1.06</f>
    </nc>
  </rcc>
  <rcc rId="3258" sId="7" numFmtId="34">
    <oc r="K7">
      <v>960</v>
    </oc>
    <nc r="K7">
      <f>678*1.06</f>
    </nc>
  </rcc>
  <rcc rId="3259" sId="7" numFmtId="34">
    <oc r="K8">
      <v>960</v>
    </oc>
    <nc r="K8">
      <f>678*1.06</f>
    </nc>
  </rcc>
  <rcc rId="3260" sId="7" numFmtId="34">
    <oc r="K9">
      <v>960</v>
    </oc>
    <nc r="K9">
      <f>678*1.06</f>
    </nc>
  </rcc>
  <rcc rId="3261" sId="7" numFmtId="34">
    <oc r="K10">
      <v>960</v>
    </oc>
    <nc r="K10">
      <f>678*1.06</f>
    </nc>
  </rcc>
  <rcc rId="3262" sId="7" numFmtId="34">
    <oc r="K12">
      <v>960</v>
    </oc>
    <nc r="K12">
      <f>678*1.06</f>
    </nc>
  </rcc>
  <rcc rId="3263" sId="7" numFmtId="34">
    <oc r="K13">
      <v>960</v>
    </oc>
    <nc r="K13">
      <f>678*1.06</f>
    </nc>
  </rcc>
  <rcc rId="3264" sId="7" numFmtId="34">
    <oc r="K14">
      <v>960</v>
    </oc>
    <nc r="K14">
      <f>678*1.06</f>
    </nc>
  </rcc>
  <rcc rId="3265" sId="7" numFmtId="34">
    <oc r="K15">
      <v>960</v>
    </oc>
    <nc r="K15">
      <f>678*1.06</f>
    </nc>
  </rcc>
  <rcc rId="3266" sId="7" numFmtId="34">
    <oc r="K16">
      <v>960</v>
    </oc>
    <nc r="K16">
      <f>678*1.06</f>
    </nc>
  </rcc>
  <rfmt sheetId="7" sqref="K11">
    <dxf>
      <fill>
        <patternFill patternType="solid">
          <bgColor rgb="FF7030A0"/>
        </patternFill>
      </fill>
    </dxf>
  </rfmt>
  <rcc rId="3267" sId="3" numFmtId="34">
    <oc r="K8">
      <v>960</v>
    </oc>
    <nc r="K8">
      <f>678*1.06</f>
    </nc>
  </rcc>
  <rcc rId="3268" sId="3" numFmtId="34">
    <oc r="K9">
      <v>960</v>
    </oc>
    <nc r="K9">
      <f>678*1.06</f>
    </nc>
  </rcc>
  <rcc rId="3269" sId="3" numFmtId="34">
    <oc r="K10">
      <v>960</v>
    </oc>
    <nc r="K10">
      <f>678*1.06</f>
    </nc>
  </rcc>
  <rfmt sheetId="3" sqref="K8">
    <dxf>
      <fill>
        <patternFill patternType="solid">
          <bgColor rgb="FF7030A0"/>
        </patternFill>
      </fill>
    </dxf>
  </rfmt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0" sId="2" numFmtId="34">
    <oc r="K10">
      <v>960</v>
    </oc>
    <nc r="K10">
      <f>678*1.06</f>
    </nc>
  </rcc>
  <rcc rId="3271" sId="2" numFmtId="34">
    <oc r="K9">
      <v>960</v>
    </oc>
    <nc r="K9">
      <f>678*1.06</f>
    </nc>
  </rcc>
  <rfmt sheetId="2" sqref="K10">
    <dxf>
      <fill>
        <patternFill patternType="solid">
          <bgColor rgb="FF7030A0"/>
        </patternFill>
      </fill>
    </dxf>
  </rfmt>
  <rfmt sheetId="7" sqref="K10">
    <dxf>
      <fill>
        <patternFill patternType="solid">
          <bgColor rgb="FF7030A0"/>
        </patternFill>
      </fill>
    </dxf>
  </rfmt>
  <rfmt sheetId="7" sqref="K8">
    <dxf>
      <fill>
        <patternFill patternType="solid">
          <bgColor rgb="FF7030A0"/>
        </patternFill>
      </fill>
    </dxf>
  </rfmt>
  <rcc rId="3272" sId="1">
    <oc r="K8">
      <f>800</f>
    </oc>
    <nc r="K8">
      <f>678*1.06</f>
    </nc>
  </rcc>
  <rcc rId="3273" sId="1">
    <oc r="K9">
      <f>800</f>
    </oc>
    <nc r="K9">
      <f>678*1.06</f>
    </nc>
  </rcc>
  <rfmt sheetId="1" sqref="K8">
    <dxf>
      <fill>
        <patternFill patternType="solid">
          <bgColor rgb="FF7030A0"/>
        </patternFill>
      </fill>
    </dxf>
  </rfmt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K12">
    <dxf>
      <fill>
        <patternFill patternType="solid">
          <bgColor rgb="FF7030A0"/>
        </patternFill>
      </fill>
    </dxf>
  </rfmt>
  <rfmt sheetId="7" sqref="K7">
    <dxf>
      <fill>
        <patternFill patternType="solid">
          <bgColor rgb="FF7030A0"/>
        </patternFill>
      </fill>
    </dxf>
  </rfmt>
  <rfmt sheetId="7" sqref="K9">
    <dxf>
      <fill>
        <patternFill patternType="solid">
          <bgColor rgb="FF7030A0"/>
        </patternFill>
      </fill>
    </dxf>
  </rfmt>
  <rfmt sheetId="7" sqref="K13">
    <dxf>
      <fill>
        <patternFill patternType="solid">
          <bgColor rgb="FF7030A0"/>
        </patternFill>
      </fill>
    </dxf>
  </rfmt>
  <rfmt sheetId="7" sqref="K16">
    <dxf>
      <fill>
        <patternFill patternType="solid">
          <bgColor rgb="FF7030A0"/>
        </patternFill>
      </fill>
    </dxf>
  </rfmt>
  <rfmt sheetId="7" sqref="K14">
    <dxf>
      <fill>
        <patternFill patternType="solid">
          <bgColor rgb="FF7030A0"/>
        </patternFill>
      </fill>
    </dxf>
  </rfmt>
  <rfmt sheetId="7" sqref="K15">
    <dxf>
      <fill>
        <patternFill patternType="solid">
          <bgColor rgb="FF7030A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34:C34">
    <dxf>
      <fill>
        <patternFill patternType="solid">
          <bgColor rgb="FFFFFF00"/>
        </patternFill>
      </fill>
    </dxf>
  </rfmt>
  <rcc rId="2770" sId="7">
    <nc r="L34" t="inlineStr">
      <is>
        <t>Roads</t>
      </is>
    </nc>
  </rcc>
  <rfmt sheetId="7" sqref="L34">
    <dxf>
      <fill>
        <patternFill patternType="solid">
          <bgColor rgb="FFC00000"/>
        </patternFill>
      </fill>
    </dxf>
  </rfmt>
  <rfmt sheetId="6" sqref="A28:C28">
    <dxf>
      <fill>
        <patternFill patternType="solid">
          <bgColor rgb="FFFFFF00"/>
        </patternFill>
      </fill>
    </dxf>
  </rfmt>
  <rfmt sheetId="6" sqref="A77:C77">
    <dxf>
      <fill>
        <patternFill patternType="solid">
          <bgColor rgb="FFFFFF00"/>
        </patternFill>
      </fill>
    </dxf>
  </rfmt>
  <rfmt sheetId="6" sqref="A80:C80">
    <dxf>
      <fill>
        <patternFill patternType="solid">
          <bgColor rgb="FFFFFF00"/>
        </patternFill>
      </fill>
    </dxf>
  </rfmt>
  <rfmt sheetId="6" sqref="A78:C78">
    <dxf>
      <fill>
        <patternFill patternType="solid">
          <bgColor rgb="FFFFFF00"/>
        </patternFill>
      </fill>
    </dxf>
  </rfmt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4" sId="6" numFmtId="34">
    <oc r="K7">
      <v>1100</v>
    </oc>
    <nc r="K7">
      <f>678*1.06</f>
    </nc>
  </rcc>
  <rcc rId="3275" sId="6" numFmtId="34">
    <oc r="K8">
      <v>1100</v>
    </oc>
    <nc r="K8">
      <f>678*1.06</f>
    </nc>
  </rcc>
  <rfmt sheetId="6" sqref="K7">
    <dxf>
      <fill>
        <patternFill patternType="solid">
          <bgColor rgb="FF7030A0"/>
        </patternFill>
      </fill>
    </dxf>
  </rfmt>
  <rfmt sheetId="6" sqref="K8">
    <dxf>
      <fill>
        <patternFill patternType="solid">
          <bgColor rgb="FF7030A0"/>
        </patternFill>
      </fill>
    </dxf>
  </rfmt>
  <rcc rId="3276" sId="5" numFmtId="34">
    <oc r="K7">
      <v>960</v>
    </oc>
    <nc r="K7">
      <f>678*1.06</f>
    </nc>
  </rcc>
  <rfmt sheetId="5" sqref="K7">
    <dxf>
      <fill>
        <patternFill patternType="solid">
          <bgColor rgb="FF7030A0"/>
        </patternFill>
      </fill>
    </dxf>
  </rfmt>
  <rcc rId="3277" sId="4" numFmtId="34">
    <oc r="K7">
      <v>960</v>
    </oc>
    <nc r="K7">
      <f>678*1.06</f>
    </nc>
  </rcc>
  <rfmt sheetId="4" sqref="K7">
    <dxf>
      <fill>
        <patternFill patternType="solid">
          <bgColor rgb="FF7030A0"/>
        </patternFill>
      </fill>
    </dxf>
  </rfmt>
  <rfmt sheetId="2" sqref="K9">
    <dxf>
      <fill>
        <patternFill patternType="solid">
          <bgColor rgb="FF7030A0"/>
        </patternFill>
      </fill>
    </dxf>
  </rfmt>
  <rfmt sheetId="1" sqref="K9">
    <dxf>
      <fill>
        <patternFill patternType="solid">
          <bgColor rgb="FF7030A0"/>
        </patternFill>
      </fill>
    </dxf>
  </rfmt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10">
    <dxf>
      <fill>
        <patternFill patternType="solid">
          <bgColor rgb="FF7030A0"/>
        </patternFill>
      </fill>
    </dxf>
  </rfmt>
  <rcc rId="3278" sId="1">
    <oc r="K15">
      <f>1110*1.1</f>
    </oc>
    <nc r="K15">
      <f>1110*1.06</f>
    </nc>
  </rcc>
  <rcc rId="3279" sId="1">
    <oc r="K16">
      <f>1000</f>
    </oc>
    <nc r="K16">
      <f>1110*1.06</f>
    </nc>
  </rcc>
  <rfmt sheetId="1" sqref="K15:K16">
    <dxf>
      <fill>
        <patternFill patternType="solid">
          <bgColor rgb="FF7030A0"/>
        </patternFill>
      </fill>
    </dxf>
  </rfmt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0" sId="6">
    <oc r="B55" t="inlineStr">
      <is>
        <t>FNP 871 L</t>
      </is>
    </oc>
    <nc r="B55" t="inlineStr">
      <is>
        <t>FNP 877 L</t>
      </is>
    </nc>
  </rcc>
  <rcc rId="3281" sId="6" numFmtId="34">
    <oc r="K55">
      <v>240</v>
    </oc>
    <nc r="K55">
      <f>168*1.06</f>
    </nc>
  </rcc>
  <rcc rId="3282" sId="4" numFmtId="34">
    <oc r="K66">
      <v>17160</v>
    </oc>
    <nc r="K66">
      <f>16680*1.06</f>
    </nc>
  </rcc>
  <rcc rId="3283" sId="4" numFmtId="34">
    <oc r="K67">
      <v>17160</v>
    </oc>
    <nc r="K67">
      <f>16680*1.06</f>
    </nc>
  </rcc>
  <rcc rId="3284" sId="4" numFmtId="34">
    <oc r="K68">
      <v>17160</v>
    </oc>
    <nc r="K68">
      <f>16680*1.06</f>
    </nc>
  </rcc>
  <rcc rId="3285" sId="4" numFmtId="34">
    <oc r="K69">
      <v>17160</v>
    </oc>
    <nc r="K69">
      <f>16680*1.06</f>
    </nc>
  </rcc>
  <rcc rId="3286" sId="4" numFmtId="34">
    <oc r="K70">
      <v>17160</v>
    </oc>
    <nc r="K70">
      <f>16680*1.06</f>
    </nc>
  </rcc>
  <rfmt sheetId="4" sqref="K66">
    <dxf>
      <fill>
        <patternFill patternType="solid">
          <bgColor rgb="FF7030A0"/>
        </patternFill>
      </fill>
    </dxf>
  </rfmt>
  <rfmt sheetId="4" sqref="K70">
    <dxf>
      <fill>
        <patternFill patternType="solid">
          <bgColor rgb="FF7030A0"/>
        </patternFill>
      </fill>
    </dxf>
  </rfmt>
  <rfmt sheetId="4" sqref="K67">
    <dxf>
      <fill>
        <patternFill patternType="solid">
          <bgColor rgb="FF7030A0"/>
        </patternFill>
      </fill>
    </dxf>
  </rfmt>
  <rfmt sheetId="4" sqref="K68">
    <dxf>
      <fill>
        <patternFill patternType="solid">
          <bgColor rgb="FF7030A0"/>
        </patternFill>
      </fill>
    </dxf>
  </rfmt>
  <rfmt sheetId="4" sqref="K69">
    <dxf>
      <fill>
        <patternFill patternType="solid">
          <bgColor rgb="FF7030A0"/>
        </patternFill>
      </fill>
    </dxf>
  </rfmt>
  <rfmt sheetId="4" sqref="K71">
    <dxf>
      <fill>
        <patternFill patternType="solid">
          <bgColor rgb="FF7030A0"/>
        </patternFill>
      </fill>
    </dxf>
  </rfmt>
  <rcc rId="3287" sId="4" numFmtId="34">
    <oc r="K72">
      <v>10200</v>
    </oc>
    <nc r="K72">
      <f>9492*1.06</f>
    </nc>
  </rcc>
  <rfmt sheetId="4" sqref="K72">
    <dxf>
      <fill>
        <patternFill>
          <bgColor rgb="FF7030A0"/>
        </patternFill>
      </fill>
    </dxf>
  </rfmt>
  <rcc rId="3288" sId="4">
    <oc r="K73">
      <f>18414*1.1</f>
    </oc>
    <nc r="K73">
      <f>18414*1.06</f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9" sId="7" numFmtId="34">
    <oc r="K83">
      <v>10200</v>
    </oc>
    <nc r="K83">
      <f>9228*1.06</f>
    </nc>
  </rcc>
  <rfmt sheetId="7" sqref="K83">
    <dxf>
      <fill>
        <patternFill>
          <bgColor rgb="FF7030A0"/>
        </patternFill>
      </fill>
    </dxf>
  </rfmt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0" sId="10">
    <oc r="A194" t="inlineStr">
      <is>
        <t>BNZ 610 L</t>
      </is>
    </oc>
    <nc r="A194" t="inlineStr">
      <is>
        <t>BZN 610 L</t>
      </is>
    </nc>
  </rcc>
  <rcc rId="3291" sId="7" numFmtId="34">
    <oc r="K77">
      <v>10200</v>
    </oc>
    <nc r="K77">
      <f>9492*1.06</f>
    </nc>
  </rcc>
  <rfmt sheetId="7" sqref="K77">
    <dxf>
      <fill>
        <patternFill>
          <bgColor rgb="FF7030A0"/>
        </patternFill>
      </fill>
    </dxf>
  </rfmt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2" sId="6" numFmtId="34">
    <oc r="K53">
      <v>240</v>
    </oc>
    <nc r="K53">
      <f>168*1.06</f>
    </nc>
  </rcc>
  <rcc rId="3293" sId="6" numFmtId="34">
    <oc r="K54">
      <v>240</v>
    </oc>
    <nc r="K54">
      <f>168*1.06</f>
    </nc>
  </rcc>
  <rfmt sheetId="6" sqref="K53:K55">
    <dxf>
      <fill>
        <patternFill patternType="solid">
          <bgColor rgb="FF7030A0"/>
        </patternFill>
      </fill>
    </dxf>
  </rfmt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4" sId="6" numFmtId="34">
    <oc r="K72">
      <v>10200</v>
    </oc>
    <nc r="K72">
      <f>12420*1.06</f>
    </nc>
  </rcc>
  <rcc rId="3295" sId="6" numFmtId="34">
    <oc r="K73">
      <v>10200</v>
    </oc>
    <nc r="K73">
      <f>12420*1.06</f>
    </nc>
  </rcc>
  <rfmt sheetId="6" sqref="K72">
    <dxf>
      <fill>
        <patternFill patternType="solid">
          <bgColor rgb="FF7030A0"/>
        </patternFill>
      </fill>
    </dxf>
  </rfmt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6" sId="5" numFmtId="34">
    <oc r="K80">
      <v>39000</v>
    </oc>
    <nc r="K80">
      <f>34158*1.06</f>
    </nc>
  </rcc>
  <rfmt sheetId="5" sqref="K80">
    <dxf>
      <fill>
        <patternFill patternType="solid">
          <bgColor rgb="FF7030A0"/>
        </patternFill>
      </fill>
    </dxf>
  </rfmt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7" sId="4">
    <oc r="K27">
      <f>2500</f>
    </oc>
    <nc r="K27">
      <f>2460*1.06</f>
    </nc>
  </rcc>
  <rfmt sheetId="4" sqref="K27">
    <dxf>
      <fill>
        <patternFill patternType="solid">
          <bgColor rgb="FF7030A0"/>
        </patternFill>
      </fill>
    </dxf>
  </rfmt>
  <rcc rId="3298" sId="4" numFmtId="34">
    <oc r="K96">
      <v>39000</v>
    </oc>
    <nc r="K96">
      <f>38250*1.06</f>
    </nc>
  </rcc>
  <rfmt sheetId="4" sqref="K96">
    <dxf>
      <fill>
        <patternFill patternType="solid">
          <bgColor rgb="FF7030A0"/>
        </patternFill>
      </fill>
    </dxf>
  </rfmt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9" sId="5" numFmtId="34">
    <oc r="K73">
      <v>10200</v>
    </oc>
    <nc r="K73">
      <f>11118*1.06</f>
    </nc>
  </rcc>
  <rfmt sheetId="5" sqref="K73">
    <dxf>
      <fill>
        <patternFill patternType="solid">
          <bgColor rgb="FF7030A0"/>
        </patternFill>
      </fill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A53:C54">
    <dxf>
      <fill>
        <patternFill patternType="solid">
          <bgColor rgb="FFFFFF00"/>
        </patternFill>
      </fill>
    </dxf>
  </rfmt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0" sId="6" numFmtId="34">
    <oc r="K40">
      <v>10200</v>
    </oc>
    <nc r="K40">
      <f>9492*1.06</f>
    </nc>
  </rcc>
  <rfmt sheetId="6" sqref="K40">
    <dxf>
      <fill>
        <patternFill patternType="solid">
          <bgColor rgb="FF7030A0"/>
        </patternFill>
      </fill>
    </dxf>
  </rfmt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1" sId="5" numFmtId="34">
    <oc r="K74">
      <v>10200</v>
    </oc>
    <nc r="K74">
      <f>9492*1.06</f>
    </nc>
  </rcc>
  <rfmt sheetId="5" sqref="K74">
    <dxf>
      <fill>
        <patternFill patternType="solid">
          <bgColor rgb="FF7030A0"/>
        </patternFill>
      </fill>
    </dxf>
  </rfmt>
  <rcc rId="3302" sId="5" numFmtId="34">
    <oc r="K13">
      <v>2400</v>
    </oc>
    <nc r="K13">
      <f>1932*1.06</f>
    </nc>
  </rcc>
  <rfmt sheetId="5" sqref="K13">
    <dxf>
      <fill>
        <patternFill patternType="solid">
          <bgColor rgb="FF7030A0"/>
        </patternFill>
      </fill>
    </dxf>
  </rfmt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3" sId="6" numFmtId="34">
    <oc r="K47">
      <v>17160</v>
    </oc>
    <nc r="K47">
      <f>8358*1.06</f>
    </nc>
  </rcc>
  <rfmt sheetId="6" sqref="K47">
    <dxf>
      <fill>
        <patternFill patternType="solid">
          <bgColor rgb="FF7030A0"/>
        </patternFill>
      </fill>
    </dxf>
  </rfmt>
  <rcc rId="3304" sId="6" odxf="1" dxf="1" numFmtId="34">
    <oc r="K46">
      <v>17160</v>
    </oc>
    <nc r="K46">
      <f>8358*1.06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5" sId="7" numFmtId="34">
    <oc r="K34">
      <v>17160</v>
    </oc>
    <nc r="K34">
      <f>8358*1.06</f>
    </nc>
  </rcc>
  <rfmt sheetId="7" sqref="K34">
    <dxf>
      <fill>
        <patternFill patternType="solid">
          <bgColor rgb="FF7030A0"/>
        </patternFill>
      </fill>
    </dxf>
  </rfmt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6" sId="6">
    <oc r="K73">
      <f>12420*1.06</f>
    </oc>
    <nc r="K73">
      <f>8358*1.06</f>
    </nc>
  </rcc>
  <rfmt sheetId="6" sqref="K73">
    <dxf>
      <fill>
        <patternFill patternType="solid">
          <bgColor rgb="FF7030A0"/>
        </patternFill>
      </fill>
    </dxf>
  </rfmt>
  <rcc rId="3307" sId="5" odxf="1" dxf="1" numFmtId="34">
    <oc r="K14">
      <v>2400</v>
    </oc>
    <nc r="K14">
      <f>1932*1.06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  <rcc rId="3308" sId="5" odxf="1" dxf="1" numFmtId="34">
    <oc r="K15">
      <v>2400</v>
    </oc>
    <nc r="K15">
      <f>1932*1.06</f>
    </nc>
    <odxf>
      <fill>
        <patternFill patternType="none">
          <bgColor indexed="65"/>
        </patternFill>
      </fill>
    </odxf>
    <ndxf>
      <fill>
        <patternFill patternType="solid">
          <bgColor rgb="FF7030A0"/>
        </patternFill>
      </fill>
    </ndxf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9" sId="6" numFmtId="34">
    <oc r="K14">
      <v>1200</v>
    </oc>
    <nc r="K14">
      <f>678*1.06</f>
    </nc>
  </rcc>
  <rcc rId="3310" sId="6" numFmtId="34">
    <oc r="K13">
      <v>1200</v>
    </oc>
    <nc r="K13">
      <f>678*1.06</f>
    </nc>
  </rcc>
  <rm rId="3311" sheetId="6" source="K13:K14" destination="K14:K15" sourceSheetId="6">
    <undo index="65535" exp="ref" v="1" dr="K15" r="K16" sId="6"/>
    <rcc rId="0" sId="6" s="1" dxf="1" numFmtId="34">
      <nc r="K15">
        <v>1200</v>
      </nc>
      <ndxf>
        <font>
          <sz val="8"/>
          <color auto="1"/>
          <name val="Consolas"/>
          <family val="3"/>
          <scheme val="none"/>
        </font>
        <numFmt numFmtId="35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c rId="3312" sId="6" odxf="1" s="1" dxf="1">
    <nc r="K13">
      <f>678*1.06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family val="3"/>
        <scheme val="none"/>
      </font>
      <numFmt numFmtId="0" formatCode="General"/>
    </odxf>
    <ndxf>
      <numFmt numFmtId="35" formatCode="_(* #,##0.00_);_(* \(#,##0.00\);_(* &quot;-&quot;??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K14">
    <dxf>
      <fill>
        <patternFill patternType="solid">
          <bgColor rgb="FF7030A0"/>
        </patternFill>
      </fill>
    </dxf>
  </rfmt>
  <rcc rId="3313" sId="7">
    <oc r="K22">
      <v>1200</v>
    </oc>
    <nc r="K22"/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  <oldFormula>'COMMUNITY SERV'!$P:$P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9" sId="7">
    <nc r="K22">
      <f>678*1.06</f>
    </nc>
  </rcc>
  <rcc rId="3340" sId="7" numFmtId="34">
    <oc r="K23">
      <v>1200</v>
    </oc>
    <nc r="K23">
      <f>678*1.06</f>
    </nc>
  </rcc>
  <rcc rId="3341" sId="7" numFmtId="34">
    <oc r="K24">
      <v>1200</v>
    </oc>
    <nc r="K24">
      <f>678*1.06</f>
    </nc>
  </rcc>
  <rfmt sheetId="7" sqref="K22">
    <dxf>
      <fill>
        <patternFill patternType="solid">
          <bgColor rgb="FF7030A0"/>
        </patternFill>
      </fill>
    </dxf>
  </rfmt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1" customView="1" name="Z_DF69299D_7752_4436_A45D_28F739CEE21B_.wvu.FilterData" hidden="1" oldHidden="1">
    <formula>mayor!$A$16:$C$16</formula>
    <oldFormula>mayor!$A$16:$C$16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4" customView="1" name="Z_DF69299D_7752_4436_A45D_28F739CEE21B_.wvu.Cols" hidden="1" oldHidden="1">
    <formula>'COMMUNITY SERV'!$P:$P</formula>
    <oldFormula>'COMMUNITY SERV'!$P:$P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CEM!$A$1:$Q$146</formula>
    <oldFormula>CEM!$A$1:$Q$146</oldFormula>
  </rdn>
  <rdn rId="0" localSheetId="6" customView="1" name="Z_DF69299D_7752_4436_A45D_28F739CEE21B_.wvu.Rows" hidden="1" oldHidden="1">
    <formula>CEM!$141:$141</formula>
    <oldFormula>CEM!$141:$141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K24">
    <dxf>
      <fill>
        <patternFill patternType="solid">
          <bgColor rgb="FF7030A0"/>
        </patternFill>
      </fill>
    </dxf>
  </rfmt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7" sId="5" numFmtId="34">
    <oc r="K29">
      <v>1200</v>
    </oc>
    <nc r="K29">
      <f>678*1.06</f>
    </nc>
  </rcc>
  <rcc rId="3368" sId="5" odxf="1" dxf="1" numFmtId="34">
    <oc r="K31">
      <v>1200</v>
    </oc>
    <nc r="K31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69" sId="5" odxf="1" dxf="1" numFmtId="34">
    <oc r="K32">
      <v>1200</v>
    </oc>
    <nc r="K32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0" sId="5" odxf="1" dxf="1" numFmtId="34">
    <oc r="K33">
      <v>1200</v>
    </oc>
    <nc r="K33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1" sId="5" odxf="1" dxf="1" numFmtId="34">
    <oc r="K34">
      <v>1200</v>
    </oc>
    <nc r="K34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2" sId="5" odxf="1" dxf="1" numFmtId="34">
    <oc r="K35">
      <v>1200</v>
    </oc>
    <nc r="K35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3" sId="5" odxf="1" dxf="1" numFmtId="34">
    <oc r="K36">
      <v>1200</v>
    </oc>
    <nc r="K36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4" sId="5" odxf="1" dxf="1" numFmtId="34">
    <oc r="K39">
      <v>1200</v>
    </oc>
    <nc r="K39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5" sId="5" odxf="1" dxf="1" numFmtId="34">
    <oc r="K40">
      <v>1200</v>
    </oc>
    <nc r="K40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6" sId="5" odxf="1" dxf="1" numFmtId="34">
    <oc r="K42">
      <v>1200</v>
    </oc>
    <nc r="K42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7" sId="5" odxf="1" dxf="1" numFmtId="34">
    <oc r="K43">
      <v>1200</v>
    </oc>
    <nc r="K43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8" sId="5" odxf="1" dxf="1" numFmtId="34">
    <oc r="K45">
      <v>1200</v>
    </oc>
    <nc r="K45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79" sId="5" odxf="1" dxf="1" numFmtId="34">
    <oc r="K46">
      <v>1200</v>
    </oc>
    <nc r="K46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  <rcc rId="3380" sId="5" odxf="1" dxf="1" numFmtId="34">
    <oc r="K47">
      <v>1200</v>
    </oc>
    <nc r="K47">
      <f>678*1.06</f>
    </nc>
    <odxf>
      <font>
        <sz val="8"/>
        <name val="Consolas"/>
        <family val="3"/>
      </font>
    </odxf>
    <ndxf>
      <font>
        <sz val="8"/>
        <color rgb="FFFF0000"/>
        <name val="Consolas"/>
        <family val="3"/>
      </font>
    </ndxf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K29">
    <dxf>
      <fill>
        <patternFill patternType="solid">
          <bgColor rgb="FF7030A0"/>
        </patternFill>
      </fill>
    </dxf>
  </rfmt>
  <rfmt sheetId="5" sqref="K40">
    <dxf>
      <fill>
        <patternFill patternType="solid">
          <bgColor rgb="FF7030A0"/>
        </patternFill>
      </fill>
    </dxf>
  </rfmt>
  <rfmt sheetId="5" sqref="K31">
    <dxf>
      <fill>
        <patternFill patternType="solid">
          <bgColor rgb="FF7030A0"/>
        </patternFill>
      </fill>
    </dxf>
  </rfmt>
  <rfmt sheetId="5" sqref="K32">
    <dxf>
      <fill>
        <patternFill patternType="solid">
          <bgColor rgb="FF7030A0"/>
        </patternFill>
      </fill>
    </dxf>
  </rfmt>
  <rfmt sheetId="5" sqref="K41">
    <dxf>
      <fill>
        <patternFill patternType="solid">
          <bgColor rgb="FF7030A0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D5BAFF8-80B0-4BF1-9320-F6B57B70175D}" name="Andre A. Le Grange" id="-77459548" dateTime="2024-03-22T14:03:03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45"/>
  </sheetPr>
  <dimension ref="A1:T127"/>
  <sheetViews>
    <sheetView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30" sqref="H30"/>
    </sheetView>
  </sheetViews>
  <sheetFormatPr defaultColWidth="9.1796875" defaultRowHeight="10.5" x14ac:dyDescent="0.25"/>
  <cols>
    <col min="1" max="1" width="21" style="2" customWidth="1"/>
    <col min="2" max="2" width="8.7265625" style="2" bestFit="1" customWidth="1"/>
    <col min="3" max="3" width="4.90625" style="4" bestFit="1" customWidth="1"/>
    <col min="4" max="4" width="7.81640625" style="13" bestFit="1" customWidth="1"/>
    <col min="5" max="5" width="11.26953125" style="2" bestFit="1" customWidth="1"/>
    <col min="6" max="6" width="10.7265625" style="2" customWidth="1"/>
    <col min="7" max="12" width="11.26953125" style="2" bestFit="1" customWidth="1"/>
    <col min="13" max="13" width="13.1796875" style="2" bestFit="1" customWidth="1"/>
    <col min="14" max="14" width="11.26953125" style="2" bestFit="1" customWidth="1"/>
    <col min="15" max="15" width="13.1796875" style="2" bestFit="1" customWidth="1"/>
    <col min="16" max="16" width="8.26953125" style="11" hidden="1" customWidth="1"/>
    <col min="17" max="17" width="7.81640625" style="21" bestFit="1" customWidth="1"/>
    <col min="18" max="16384" width="9.1796875" style="2"/>
  </cols>
  <sheetData>
    <row r="1" spans="1:20" x14ac:dyDescent="0.25">
      <c r="A1" s="7" t="s">
        <v>1560</v>
      </c>
      <c r="C1" s="42"/>
      <c r="D1" s="13" t="s">
        <v>1439</v>
      </c>
      <c r="G1" s="28">
        <f>5300*(1+CALC!$A$2)</f>
        <v>4107.5</v>
      </c>
      <c r="H1" s="28">
        <f>6000*(1+CALC!$A$2)</f>
        <v>4650</v>
      </c>
    </row>
    <row r="3" spans="1:20" s="79" customFormat="1" ht="33" customHeight="1" x14ac:dyDescent="0.25">
      <c r="A3" s="279" t="s">
        <v>1</v>
      </c>
      <c r="B3" s="279" t="s">
        <v>0</v>
      </c>
      <c r="C3" s="279" t="s">
        <v>2</v>
      </c>
      <c r="D3" s="280" t="s">
        <v>3</v>
      </c>
      <c r="E3" s="281" t="s">
        <v>130</v>
      </c>
      <c r="F3" s="281" t="s">
        <v>1450</v>
      </c>
      <c r="G3" s="281" t="s">
        <v>131</v>
      </c>
      <c r="H3" s="281" t="s">
        <v>132</v>
      </c>
      <c r="I3" s="281" t="s">
        <v>137</v>
      </c>
      <c r="J3" s="281" t="s">
        <v>133</v>
      </c>
      <c r="K3" s="281" t="s">
        <v>134</v>
      </c>
      <c r="L3" s="281" t="s">
        <v>188</v>
      </c>
      <c r="M3" s="282" t="s">
        <v>12</v>
      </c>
      <c r="N3" s="281" t="s">
        <v>136</v>
      </c>
      <c r="O3" s="281" t="s">
        <v>135</v>
      </c>
      <c r="P3" s="283" t="s">
        <v>63</v>
      </c>
      <c r="Q3" s="283" t="s">
        <v>11</v>
      </c>
    </row>
    <row r="4" spans="1:20" s="7" customFormat="1" ht="17.25" customHeight="1" x14ac:dyDescent="0.25">
      <c r="C4" s="29"/>
      <c r="D4" s="30"/>
      <c r="E4" s="73"/>
      <c r="F4" s="73"/>
      <c r="G4" s="73"/>
      <c r="H4" s="73"/>
      <c r="I4" s="73"/>
      <c r="J4" s="73"/>
      <c r="K4" s="73"/>
      <c r="L4" s="73"/>
      <c r="N4" s="73"/>
      <c r="O4" s="73"/>
      <c r="P4" s="17"/>
      <c r="Q4" s="34"/>
    </row>
    <row r="5" spans="1:20" ht="11" thickBot="1" x14ac:dyDescent="0.3"/>
    <row r="6" spans="1:20" ht="11" thickBot="1" x14ac:dyDescent="0.3">
      <c r="A6" s="284" t="s">
        <v>10</v>
      </c>
      <c r="B6" s="285" t="s">
        <v>238</v>
      </c>
      <c r="D6" s="541" t="s">
        <v>623</v>
      </c>
      <c r="E6" s="542"/>
      <c r="F6" s="543"/>
    </row>
    <row r="7" spans="1:20" x14ac:dyDescent="0.25">
      <c r="Q7" s="16"/>
    </row>
    <row r="8" spans="1:20" x14ac:dyDescent="0.25">
      <c r="A8" s="483" t="str">
        <f>+'1-10'!C14</f>
        <v>ISUZU KB200i 2x4 [003]</v>
      </c>
      <c r="B8" s="483" t="s">
        <v>526</v>
      </c>
      <c r="C8" s="484">
        <v>613</v>
      </c>
      <c r="D8" s="6">
        <v>20592</v>
      </c>
      <c r="E8" s="522">
        <f>+D8/P8*(CALC!$A$4)</f>
        <v>51316.224814422058</v>
      </c>
      <c r="F8" s="28">
        <f>250*12*(1+CALC!$B$15)</f>
        <v>3300.0000000000005</v>
      </c>
      <c r="G8" s="28">
        <f>CALC!$A$23*(I8/CEM!I$148)</f>
        <v>2176.3023664387702</v>
      </c>
      <c r="H8" s="28">
        <f>58000*(1+CALC!B14)</f>
        <v>60841.999999999993</v>
      </c>
      <c r="I8" s="28">
        <f>15393.84</f>
        <v>15393.84</v>
      </c>
      <c r="J8" s="28"/>
      <c r="K8" s="528">
        <f>678*1.06</f>
        <v>718.68000000000006</v>
      </c>
      <c r="L8" s="28"/>
      <c r="M8" s="28">
        <f>SUM(E8:L8)</f>
        <v>133747.04718086083</v>
      </c>
      <c r="N8" s="28">
        <f>M8/CALC!$A$8*CALC!$A$6</f>
        <v>2168.7067634186487</v>
      </c>
      <c r="O8" s="28">
        <f>+M8+N8</f>
        <v>135915.75394427948</v>
      </c>
      <c r="P8" s="37">
        <v>9.43</v>
      </c>
      <c r="Q8" s="38"/>
    </row>
    <row r="9" spans="1:20" x14ac:dyDescent="0.25">
      <c r="A9" s="483" t="str">
        <f>+'1-10'!C28</f>
        <v>ISUZU KB200i 2x4  [006]</v>
      </c>
      <c r="B9" s="483" t="s">
        <v>539</v>
      </c>
      <c r="C9" s="484">
        <v>627</v>
      </c>
      <c r="D9" s="6">
        <v>23284</v>
      </c>
      <c r="E9" s="522">
        <f>+D9/P9*(CALC!$A$4)</f>
        <v>61205.145413870254</v>
      </c>
      <c r="F9" s="28">
        <f>3000*(1+CALC!$B$15)</f>
        <v>3300.0000000000005</v>
      </c>
      <c r="G9" s="28">
        <f>CALC!$A$23*(I9/CEM!I$148)</f>
        <v>2181.6025108938111</v>
      </c>
      <c r="H9" s="28">
        <f>58000</f>
        <v>58000</v>
      </c>
      <c r="I9" s="28">
        <f>15431.33</f>
        <v>15431.33</v>
      </c>
      <c r="J9" s="28"/>
      <c r="K9" s="528">
        <f>678*1.06</f>
        <v>718.68000000000006</v>
      </c>
      <c r="L9" s="28"/>
      <c r="M9" s="28">
        <f>SUM(E9:L9)</f>
        <v>140836.75792476404</v>
      </c>
      <c r="N9" s="28">
        <f>M9/CALC!$A$8*CALC!$A$6</f>
        <v>2283.6663379668112</v>
      </c>
      <c r="O9" s="28">
        <f>+M9+N9</f>
        <v>143120.42426273084</v>
      </c>
      <c r="P9" s="37">
        <v>8.94</v>
      </c>
      <c r="Q9" s="38"/>
    </row>
    <row r="10" spans="1:20" x14ac:dyDescent="0.25">
      <c r="A10" s="8"/>
      <c r="B10" s="8"/>
      <c r="C10" s="14"/>
      <c r="D10" s="6"/>
      <c r="E10" s="19"/>
      <c r="F10" s="9"/>
      <c r="G10" s="9"/>
      <c r="H10" s="9"/>
      <c r="I10" s="9"/>
      <c r="J10" s="28"/>
      <c r="K10" s="9"/>
      <c r="L10" s="9"/>
      <c r="M10" s="9"/>
      <c r="N10" s="9"/>
      <c r="O10" s="9"/>
      <c r="P10" s="23"/>
      <c r="Q10" s="16"/>
    </row>
    <row r="11" spans="1:20" s="7" customFormat="1" x14ac:dyDescent="0.25">
      <c r="B11" s="3" t="s">
        <v>14</v>
      </c>
      <c r="C11" s="18"/>
      <c r="D11" s="12">
        <f t="shared" ref="D11:O11" si="0">SUM(D8:D10)</f>
        <v>43876</v>
      </c>
      <c r="E11" s="43">
        <f t="shared" si="0"/>
        <v>112521.3702282923</v>
      </c>
      <c r="F11" s="43">
        <f t="shared" si="0"/>
        <v>6600.0000000000009</v>
      </c>
      <c r="G11" s="43">
        <f t="shared" si="0"/>
        <v>4357.9048773325812</v>
      </c>
      <c r="H11" s="43">
        <f t="shared" si="0"/>
        <v>118842</v>
      </c>
      <c r="I11" s="43">
        <f t="shared" si="0"/>
        <v>30825.17</v>
      </c>
      <c r="J11" s="43">
        <f t="shared" si="0"/>
        <v>0</v>
      </c>
      <c r="K11" s="43">
        <f t="shared" si="0"/>
        <v>1437.3600000000001</v>
      </c>
      <c r="L11" s="43"/>
      <c r="M11" s="43">
        <f t="shared" si="0"/>
        <v>274583.80510562484</v>
      </c>
      <c r="N11" s="43">
        <f t="shared" si="0"/>
        <v>4452.3731013854594</v>
      </c>
      <c r="O11" s="43">
        <f t="shared" si="0"/>
        <v>279036.17820701032</v>
      </c>
      <c r="P11" s="25"/>
      <c r="Q11" s="111">
        <f>(+O11/D11)</f>
        <v>6.3596539841145576</v>
      </c>
      <c r="T11" s="7">
        <f>Q11*D11</f>
        <v>279036.17820701032</v>
      </c>
    </row>
    <row r="12" spans="1:20" s="7" customFormat="1" ht="11" thickBot="1" x14ac:dyDescent="0.3">
      <c r="C12" s="29"/>
      <c r="D12" s="30"/>
      <c r="E12" s="26"/>
      <c r="F12" s="31"/>
      <c r="G12" s="31"/>
      <c r="H12" s="31"/>
      <c r="I12" s="31"/>
      <c r="J12" s="17"/>
      <c r="K12" s="31"/>
      <c r="L12" s="31"/>
      <c r="M12" s="31"/>
      <c r="N12" s="31"/>
      <c r="O12" s="31"/>
      <c r="P12" s="31"/>
      <c r="Q12" s="27"/>
    </row>
    <row r="13" spans="1:20" ht="11" thickBot="1" x14ac:dyDescent="0.3">
      <c r="A13" s="284" t="s">
        <v>10</v>
      </c>
      <c r="B13" s="285" t="s">
        <v>425</v>
      </c>
      <c r="D13" s="541" t="s">
        <v>205</v>
      </c>
      <c r="E13" s="542"/>
      <c r="F13" s="543"/>
      <c r="Q13" s="16"/>
    </row>
    <row r="14" spans="1:20" x14ac:dyDescent="0.25">
      <c r="Q14" s="16"/>
    </row>
    <row r="15" spans="1:20" x14ac:dyDescent="0.25">
      <c r="A15" s="483" t="str">
        <f>+'1-10'!C50</f>
        <v>TOYOTA QUANTUM [006]</v>
      </c>
      <c r="B15" s="483" t="s">
        <v>548</v>
      </c>
      <c r="C15" s="484">
        <v>649</v>
      </c>
      <c r="D15" s="6">
        <v>10000</v>
      </c>
      <c r="E15" s="522">
        <f>+D15/P15*(CALC!$A$4)</f>
        <v>33571.428571428572</v>
      </c>
      <c r="F15" s="28">
        <f>23400*(1+CALC!$B$15)</f>
        <v>25740.000000000004</v>
      </c>
      <c r="G15" s="28">
        <f>CALC!$A$23*(I15/CEM!I$148)</f>
        <v>4366.019795756677</v>
      </c>
      <c r="H15" s="28">
        <f>53000</f>
        <v>53000</v>
      </c>
      <c r="I15" s="28">
        <f>30882.57</f>
        <v>30882.57</v>
      </c>
      <c r="J15" s="28"/>
      <c r="K15" s="528">
        <f>1110*1.06</f>
        <v>1176.6000000000001</v>
      </c>
      <c r="L15" s="28"/>
      <c r="M15" s="28">
        <f>SUM(E15:L15)</f>
        <v>148736.61836718526</v>
      </c>
      <c r="N15" s="28">
        <f>M15/CALC!$A$8*CALC!$A$6</f>
        <v>2411.762480144625</v>
      </c>
      <c r="O15" s="28">
        <f>+M15+N15</f>
        <v>151148.38084732989</v>
      </c>
      <c r="P15" s="37">
        <v>7</v>
      </c>
      <c r="Q15" s="38"/>
    </row>
    <row r="16" spans="1:20" x14ac:dyDescent="0.25">
      <c r="A16" s="483" t="str">
        <f>+'1-10'!C51</f>
        <v>TOYOTA QUANTUM [003]</v>
      </c>
      <c r="B16" s="483" t="s">
        <v>1449</v>
      </c>
      <c r="C16" s="484">
        <v>650</v>
      </c>
      <c r="D16" s="6">
        <v>12000</v>
      </c>
      <c r="E16" s="522">
        <f>+D16/P16*(CALC!$A$4)</f>
        <v>40285.714285714283</v>
      </c>
      <c r="F16" s="28">
        <f>23400*(1+CALC!$B$15)</f>
        <v>25740.000000000004</v>
      </c>
      <c r="G16" s="28">
        <f>CALC!$A$23*(I16/CEM!I$148)</f>
        <v>4366.019795756677</v>
      </c>
      <c r="H16" s="28">
        <f>53000</f>
        <v>53000</v>
      </c>
      <c r="I16" s="481">
        <v>30882.57</v>
      </c>
      <c r="J16" s="28"/>
      <c r="K16" s="528">
        <f>1110*1.06</f>
        <v>1176.6000000000001</v>
      </c>
      <c r="L16" s="28"/>
      <c r="M16" s="28">
        <f>SUM(E16:L16)</f>
        <v>155450.90408147097</v>
      </c>
      <c r="N16" s="28">
        <f>M16/CALC!$A$8*CALC!$A$6</f>
        <v>2520.6345423472835</v>
      </c>
      <c r="O16" s="28">
        <f>+M16+N16</f>
        <v>157971.53862381825</v>
      </c>
      <c r="P16" s="37">
        <v>7</v>
      </c>
      <c r="Q16" s="38"/>
    </row>
    <row r="17" spans="1:17" x14ac:dyDescent="0.25">
      <c r="A17" s="8"/>
      <c r="B17" s="8"/>
      <c r="C17" s="14"/>
      <c r="D17" s="6"/>
      <c r="E17" s="44"/>
      <c r="F17" s="9"/>
      <c r="G17" s="9"/>
      <c r="H17" s="9"/>
      <c r="I17" s="9"/>
      <c r="J17" s="28"/>
      <c r="K17" s="9"/>
      <c r="L17" s="9"/>
      <c r="M17" s="9"/>
      <c r="N17" s="9"/>
      <c r="O17" s="9"/>
      <c r="P17" s="23"/>
      <c r="Q17" s="16"/>
    </row>
    <row r="18" spans="1:17" s="7" customFormat="1" x14ac:dyDescent="0.25">
      <c r="B18" s="3" t="s">
        <v>14</v>
      </c>
      <c r="C18" s="18"/>
      <c r="D18" s="12">
        <f t="shared" ref="D18:O18" si="1">SUM(D15:D17)</f>
        <v>22000</v>
      </c>
      <c r="E18" s="43">
        <f t="shared" si="1"/>
        <v>73857.142857142855</v>
      </c>
      <c r="F18" s="43">
        <f t="shared" si="1"/>
        <v>51480.000000000007</v>
      </c>
      <c r="G18" s="43">
        <f t="shared" si="1"/>
        <v>8732.039591513354</v>
      </c>
      <c r="H18" s="43">
        <f t="shared" si="1"/>
        <v>106000</v>
      </c>
      <c r="I18" s="43">
        <f t="shared" si="1"/>
        <v>61765.14</v>
      </c>
      <c r="J18" s="43">
        <f t="shared" si="1"/>
        <v>0</v>
      </c>
      <c r="K18" s="43">
        <f t="shared" si="1"/>
        <v>2353.2000000000003</v>
      </c>
      <c r="L18" s="43"/>
      <c r="M18" s="43">
        <f t="shared" si="1"/>
        <v>304187.52244865627</v>
      </c>
      <c r="N18" s="43">
        <f t="shared" si="1"/>
        <v>4932.3970224919085</v>
      </c>
      <c r="O18" s="43">
        <f t="shared" si="1"/>
        <v>309119.91947114817</v>
      </c>
      <c r="P18" s="25"/>
      <c r="Q18" s="111">
        <f>(+O18/D18)</f>
        <v>14.050905430506734</v>
      </c>
    </row>
    <row r="19" spans="1:17" s="7" customFormat="1" ht="11" thickBot="1" x14ac:dyDescent="0.3">
      <c r="C19" s="29"/>
      <c r="D19" s="30"/>
      <c r="E19" s="26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7"/>
    </row>
    <row r="20" spans="1:17" ht="11" thickBot="1" x14ac:dyDescent="0.3">
      <c r="A20" s="284" t="s">
        <v>10</v>
      </c>
      <c r="B20" s="285" t="s">
        <v>426</v>
      </c>
      <c r="D20" s="541" t="s">
        <v>101</v>
      </c>
      <c r="E20" s="542"/>
      <c r="F20" s="543"/>
      <c r="Q20" s="16"/>
    </row>
    <row r="21" spans="1:17" x14ac:dyDescent="0.25">
      <c r="Q21" s="16"/>
    </row>
    <row r="22" spans="1:17" x14ac:dyDescent="0.25">
      <c r="A22" s="483" t="str">
        <f>+'1-10'!C2</f>
        <v>CHEVROLET AVEO 1.6  [057]</v>
      </c>
      <c r="B22" s="483" t="s">
        <v>540</v>
      </c>
      <c r="C22" s="484">
        <v>601</v>
      </c>
      <c r="D22" s="486">
        <v>32576</v>
      </c>
      <c r="E22" s="520">
        <f>+D22/P22*(CALC!$A$4)</f>
        <v>95692</v>
      </c>
      <c r="F22" s="28">
        <f>23400*(1+CALC!$B$15)</f>
        <v>25740.000000000004</v>
      </c>
      <c r="G22" s="28">
        <f>CALC!$A$23*(I22/CEM!I$148)</f>
        <v>1480.8934424616684</v>
      </c>
      <c r="H22" s="28">
        <v>30000</v>
      </c>
      <c r="I22" s="28">
        <f>10474.94</f>
        <v>10474.94</v>
      </c>
      <c r="J22" s="28"/>
      <c r="K22" s="528">
        <f>474*1.06</f>
        <v>502.44</v>
      </c>
      <c r="L22" s="28"/>
      <c r="M22" s="28">
        <f>SUM(E22:L22)</f>
        <v>163890.27344246168</v>
      </c>
      <c r="N22" s="28">
        <f>M22/CALC!$A$8*CALC!$A$6</f>
        <v>2657.4788151589214</v>
      </c>
      <c r="O22" s="28">
        <f>+M22+N22</f>
        <v>166547.7522576206</v>
      </c>
      <c r="P22" s="37">
        <v>8</v>
      </c>
      <c r="Q22" s="38"/>
    </row>
    <row r="23" spans="1:17" x14ac:dyDescent="0.25">
      <c r="A23" s="8"/>
      <c r="B23" s="8"/>
      <c r="C23" s="14"/>
      <c r="D23" s="6"/>
      <c r="E23" s="44"/>
      <c r="F23" s="9"/>
      <c r="G23" s="9"/>
      <c r="H23" s="9"/>
      <c r="I23" s="9"/>
      <c r="J23" s="28"/>
      <c r="K23" s="9"/>
      <c r="L23" s="9"/>
      <c r="M23" s="9"/>
      <c r="N23" s="9"/>
      <c r="O23" s="9"/>
      <c r="P23" s="23"/>
      <c r="Q23" s="16"/>
    </row>
    <row r="24" spans="1:17" s="7" customFormat="1" x14ac:dyDescent="0.25">
      <c r="B24" s="3" t="s">
        <v>14</v>
      </c>
      <c r="C24" s="18"/>
      <c r="D24" s="12">
        <f t="shared" ref="D24:M24" si="2">SUM(D22:D23)</f>
        <v>32576</v>
      </c>
      <c r="E24" s="43">
        <f t="shared" si="2"/>
        <v>95692</v>
      </c>
      <c r="F24" s="10">
        <f t="shared" si="2"/>
        <v>25740.000000000004</v>
      </c>
      <c r="G24" s="10">
        <f t="shared" si="2"/>
        <v>1480.8934424616684</v>
      </c>
      <c r="H24" s="10">
        <f t="shared" si="2"/>
        <v>30000</v>
      </c>
      <c r="I24" s="10">
        <f t="shared" si="2"/>
        <v>10474.94</v>
      </c>
      <c r="J24" s="10">
        <f t="shared" si="2"/>
        <v>0</v>
      </c>
      <c r="K24" s="10">
        <f t="shared" si="2"/>
        <v>502.44</v>
      </c>
      <c r="L24" s="10"/>
      <c r="M24" s="10">
        <f t="shared" si="2"/>
        <v>163890.27344246168</v>
      </c>
      <c r="N24" s="10">
        <f>+N22</f>
        <v>2657.4788151589214</v>
      </c>
      <c r="O24" s="10">
        <f>+M24+N24</f>
        <v>166547.7522576206</v>
      </c>
      <c r="P24" s="25"/>
      <c r="Q24" s="111">
        <f>(+O24/D24)*(1+CALC!$A$3)</f>
        <v>5.1125906267688048</v>
      </c>
    </row>
    <row r="25" spans="1:17" s="7" customFormat="1" ht="11" thickBot="1" x14ac:dyDescent="0.3">
      <c r="C25" s="29"/>
      <c r="D25" s="30"/>
      <c r="E25" s="26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27"/>
    </row>
    <row r="26" spans="1:17" ht="11" thickBot="1" x14ac:dyDescent="0.3">
      <c r="A26" s="284" t="s">
        <v>10</v>
      </c>
      <c r="B26" s="285" t="s">
        <v>104</v>
      </c>
      <c r="D26" s="541" t="s">
        <v>209</v>
      </c>
      <c r="E26" s="542"/>
      <c r="F26" s="543"/>
      <c r="Q26" s="16"/>
    </row>
    <row r="27" spans="1:17" x14ac:dyDescent="0.25">
      <c r="Q27" s="16"/>
    </row>
    <row r="28" spans="1:17" s="470" customFormat="1" x14ac:dyDescent="0.25">
      <c r="A28" s="463" t="s">
        <v>551</v>
      </c>
      <c r="B28" s="463" t="s">
        <v>550</v>
      </c>
      <c r="C28" s="334">
        <v>600</v>
      </c>
      <c r="D28" s="464">
        <v>0</v>
      </c>
      <c r="E28" s="465">
        <f>+D28/P28*(CALC!$A$4)</f>
        <v>0</v>
      </c>
      <c r="F28" s="466">
        <f>23400*(1+CALC!$B$15)</f>
        <v>25740.000000000004</v>
      </c>
      <c r="G28" s="466">
        <v>0</v>
      </c>
      <c r="H28" s="466">
        <v>0</v>
      </c>
      <c r="I28" s="466">
        <v>0</v>
      </c>
      <c r="J28" s="466"/>
      <c r="K28" s="528">
        <f>1110*1.06</f>
        <v>1176.6000000000001</v>
      </c>
      <c r="L28" s="466"/>
      <c r="M28" s="466">
        <f>SUM(E28:L28)</f>
        <v>26916.600000000002</v>
      </c>
      <c r="N28" s="467">
        <f>M28/CALC!$A$8*CALC!$A$6</f>
        <v>436.45234566784319</v>
      </c>
      <c r="O28" s="466">
        <f>+M28+N28</f>
        <v>27353.052345667846</v>
      </c>
      <c r="P28" s="468">
        <v>7.16</v>
      </c>
      <c r="Q28" s="469"/>
    </row>
    <row r="29" spans="1:17" ht="12.5" x14ac:dyDescent="0.25">
      <c r="A29" s="549" t="s">
        <v>1570</v>
      </c>
      <c r="B29" s="548" t="s">
        <v>1569</v>
      </c>
      <c r="C29" s="14"/>
      <c r="D29" s="6">
        <v>25000</v>
      </c>
      <c r="E29" s="465">
        <v>80000</v>
      </c>
      <c r="F29" s="466">
        <f>23400*(1+CALC!$B$15)</f>
        <v>25740.000000000004</v>
      </c>
      <c r="G29" s="9"/>
      <c r="H29" s="9">
        <v>25000</v>
      </c>
      <c r="I29" s="9"/>
      <c r="J29" s="28"/>
      <c r="K29" s="528">
        <f>1110*1.06</f>
        <v>1176.6000000000001</v>
      </c>
      <c r="L29" s="9"/>
      <c r="M29" s="9"/>
      <c r="N29" s="9"/>
      <c r="O29" s="9"/>
      <c r="P29" s="23"/>
      <c r="Q29" s="16"/>
    </row>
    <row r="30" spans="1:17" s="7" customFormat="1" x14ac:dyDescent="0.25">
      <c r="B30" s="3" t="s">
        <v>14</v>
      </c>
      <c r="C30" s="18"/>
      <c r="D30" s="12">
        <f t="shared" ref="D30:M30" si="3">SUM(D28:D29)</f>
        <v>25000</v>
      </c>
      <c r="E30" s="43">
        <f t="shared" si="3"/>
        <v>80000</v>
      </c>
      <c r="F30" s="10">
        <f t="shared" si="3"/>
        <v>51480.000000000007</v>
      </c>
      <c r="G30" s="10">
        <f t="shared" si="3"/>
        <v>0</v>
      </c>
      <c r="H30" s="10">
        <f t="shared" si="3"/>
        <v>25000</v>
      </c>
      <c r="I30" s="10">
        <f t="shared" si="3"/>
        <v>0</v>
      </c>
      <c r="J30" s="10">
        <f t="shared" si="3"/>
        <v>0</v>
      </c>
      <c r="K30" s="10">
        <f t="shared" si="3"/>
        <v>2353.2000000000003</v>
      </c>
      <c r="L30" s="10"/>
      <c r="M30" s="10">
        <f t="shared" si="3"/>
        <v>26916.600000000002</v>
      </c>
      <c r="N30" s="10">
        <f>+N28</f>
        <v>436.45234566784319</v>
      </c>
      <c r="O30" s="10">
        <f>+M30+N30</f>
        <v>27353.052345667846</v>
      </c>
      <c r="P30" s="25"/>
      <c r="Q30" s="111">
        <f>(+O30/D30)*(1+CALC!$A$3)</f>
        <v>1.0941220938267138</v>
      </c>
    </row>
    <row r="31" spans="1:17" s="7" customFormat="1" ht="11" thickBot="1" x14ac:dyDescent="0.3">
      <c r="C31" s="29"/>
      <c r="D31" s="30"/>
      <c r="E31" s="26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111"/>
    </row>
    <row r="32" spans="1:17" ht="11" thickBot="1" x14ac:dyDescent="0.3">
      <c r="A32" s="284" t="s">
        <v>10</v>
      </c>
      <c r="B32" s="285" t="s">
        <v>104</v>
      </c>
      <c r="D32" s="541" t="s">
        <v>209</v>
      </c>
      <c r="E32" s="542"/>
      <c r="F32" s="543"/>
      <c r="Q32" s="16"/>
    </row>
    <row r="33" spans="1:17" x14ac:dyDescent="0.25">
      <c r="Q33" s="16"/>
    </row>
    <row r="34" spans="1:17" x14ac:dyDescent="0.25">
      <c r="A34" s="483" t="s">
        <v>1445</v>
      </c>
      <c r="B34" s="483" t="s">
        <v>1446</v>
      </c>
      <c r="C34" s="14">
        <v>700</v>
      </c>
      <c r="D34" s="6">
        <v>4000</v>
      </c>
      <c r="E34" s="522">
        <f>+D34/P34*(CALC!$A$4)</f>
        <v>10107.526881720429</v>
      </c>
      <c r="F34" s="28">
        <f>23400*(1+CALC!$B$15)</f>
        <v>25740.000000000004</v>
      </c>
      <c r="G34" s="28">
        <f>CALC!$A$23*(I34/CEM!I$148)</f>
        <v>9843.8343105732602</v>
      </c>
      <c r="H34" s="413">
        <v>5000</v>
      </c>
      <c r="I34" s="413">
        <f>69629.3</f>
        <v>69629.3</v>
      </c>
      <c r="J34" s="413"/>
      <c r="K34" s="528">
        <f>1110*1.06</f>
        <v>1176.6000000000001</v>
      </c>
      <c r="L34" s="413"/>
      <c r="M34" s="413">
        <f>SUM(E34:L34)</f>
        <v>121497.26119229371</v>
      </c>
      <c r="N34" s="414">
        <f>M34/CALC!$A$8*CALC!$A$6</f>
        <v>1970.0766307629938</v>
      </c>
      <c r="O34" s="413">
        <f>+M34+N34</f>
        <v>123467.3378230567</v>
      </c>
      <c r="P34" s="37">
        <v>9.3000000000000007</v>
      </c>
      <c r="Q34" s="38"/>
    </row>
    <row r="35" spans="1:17" ht="12.5" x14ac:dyDescent="0.25">
      <c r="A35" s="549" t="s">
        <v>1567</v>
      </c>
      <c r="B35" s="548" t="s">
        <v>1568</v>
      </c>
      <c r="C35" s="14"/>
      <c r="D35" s="6">
        <v>38000</v>
      </c>
      <c r="E35" s="522">
        <v>80000</v>
      </c>
      <c r="F35" s="28">
        <f>23400*(1+CALC!$B$15)</f>
        <v>25740.000000000004</v>
      </c>
      <c r="G35" s="9"/>
      <c r="H35" s="413">
        <v>50000</v>
      </c>
      <c r="I35" s="9"/>
      <c r="J35" s="28"/>
      <c r="K35" s="528">
        <f>1110*1.06</f>
        <v>1176.6000000000001</v>
      </c>
      <c r="L35" s="9"/>
      <c r="M35" s="9"/>
      <c r="N35" s="9"/>
      <c r="O35" s="9"/>
      <c r="P35" s="23"/>
      <c r="Q35" s="16"/>
    </row>
    <row r="36" spans="1:17" s="7" customFormat="1" x14ac:dyDescent="0.25">
      <c r="B36" s="3" t="s">
        <v>14</v>
      </c>
      <c r="C36" s="18"/>
      <c r="D36" s="12">
        <f t="shared" ref="D36:K36" si="4">SUM(D34:D35)</f>
        <v>42000</v>
      </c>
      <c r="E36" s="43">
        <f t="shared" si="4"/>
        <v>90107.526881720434</v>
      </c>
      <c r="F36" s="10">
        <f t="shared" si="4"/>
        <v>51480.000000000007</v>
      </c>
      <c r="G36" s="10">
        <f t="shared" si="4"/>
        <v>9843.8343105732602</v>
      </c>
      <c r="H36" s="10">
        <f t="shared" si="4"/>
        <v>55000</v>
      </c>
      <c r="I36" s="10">
        <f t="shared" si="4"/>
        <v>69629.3</v>
      </c>
      <c r="J36" s="10">
        <f t="shared" si="4"/>
        <v>0</v>
      </c>
      <c r="K36" s="10">
        <f t="shared" si="4"/>
        <v>2353.2000000000003</v>
      </c>
      <c r="L36" s="10"/>
      <c r="M36" s="10">
        <f t="shared" ref="M36" si="5">SUM(M34:M35)</f>
        <v>121497.26119229371</v>
      </c>
      <c r="N36" s="10">
        <f>+N34</f>
        <v>1970.0766307629938</v>
      </c>
      <c r="O36" s="10">
        <f>+M36+N36</f>
        <v>123467.3378230567</v>
      </c>
      <c r="P36" s="25"/>
      <c r="Q36" s="111">
        <f>(+O36/D36)*(1+CALC!$A$3)</f>
        <v>2.9396985195965883</v>
      </c>
    </row>
    <row r="37" spans="1:17" s="7" customFormat="1" x14ac:dyDescent="0.25">
      <c r="B37" s="408"/>
      <c r="C37" s="409"/>
      <c r="D37" s="410"/>
      <c r="E37" s="411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31"/>
      <c r="Q37" s="111"/>
    </row>
    <row r="38" spans="1:17" s="7" customFormat="1" ht="11" thickBot="1" x14ac:dyDescent="0.3">
      <c r="B38" s="408"/>
      <c r="C38" s="409"/>
      <c r="D38" s="410"/>
      <c r="E38" s="411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31"/>
      <c r="Q38" s="111"/>
    </row>
    <row r="39" spans="1:17" s="7" customFormat="1" ht="11" thickBot="1" x14ac:dyDescent="0.3">
      <c r="A39" s="32"/>
      <c r="B39" s="58"/>
      <c r="C39" s="59"/>
      <c r="D39" s="6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33"/>
      <c r="Q39" s="33"/>
    </row>
    <row r="40" spans="1:17" s="7" customFormat="1" ht="11" thickBot="1" x14ac:dyDescent="0.3">
      <c r="A40" s="32" t="s">
        <v>86</v>
      </c>
      <c r="B40" s="58" t="s">
        <v>14</v>
      </c>
      <c r="C40" s="59"/>
      <c r="D40" s="60">
        <f>+D8+D16</f>
        <v>32592</v>
      </c>
      <c r="E40" s="61">
        <f>+E8+E16</f>
        <v>91601.93910013634</v>
      </c>
      <c r="F40" s="61">
        <f t="shared" ref="F40:O40" si="6">+F8+F16</f>
        <v>29040.000000000004</v>
      </c>
      <c r="G40" s="28">
        <f>CALC!$A$23*(CEM!I40/CEM!I$148)</f>
        <v>8716.4572516404642</v>
      </c>
      <c r="H40" s="61">
        <f t="shared" si="6"/>
        <v>113842</v>
      </c>
      <c r="I40" s="61">
        <f t="shared" si="6"/>
        <v>46276.41</v>
      </c>
      <c r="J40" s="61">
        <f t="shared" si="6"/>
        <v>0</v>
      </c>
      <c r="K40" s="61">
        <f t="shared" si="6"/>
        <v>1895.2800000000002</v>
      </c>
      <c r="L40" s="61">
        <f t="shared" si="6"/>
        <v>0</v>
      </c>
      <c r="M40" s="61">
        <f t="shared" si="6"/>
        <v>289197.9512623318</v>
      </c>
      <c r="N40" s="61">
        <f t="shared" si="6"/>
        <v>4689.3413057659327</v>
      </c>
      <c r="O40" s="61">
        <f t="shared" si="6"/>
        <v>293887.29256809771</v>
      </c>
      <c r="P40" s="34"/>
      <c r="Q40" s="33"/>
    </row>
    <row r="41" spans="1:17" s="7" customFormat="1" ht="11" thickBot="1" x14ac:dyDescent="0.3">
      <c r="A41" s="32" t="s">
        <v>87</v>
      </c>
      <c r="B41" s="58" t="s">
        <v>14</v>
      </c>
      <c r="C41" s="59"/>
      <c r="D41" s="60">
        <f>+D9+D15</f>
        <v>33284</v>
      </c>
      <c r="E41" s="61">
        <f>+E9+E15</f>
        <v>94776.573985298834</v>
      </c>
      <c r="F41" s="61">
        <f t="shared" ref="F41:O41" si="7">+F9+F15</f>
        <v>29040.000000000004</v>
      </c>
      <c r="G41" s="61">
        <f t="shared" si="7"/>
        <v>6547.6223066504881</v>
      </c>
      <c r="H41" s="61">
        <f t="shared" si="7"/>
        <v>111000</v>
      </c>
      <c r="I41" s="61">
        <f t="shared" si="7"/>
        <v>46313.9</v>
      </c>
      <c r="J41" s="61">
        <f t="shared" si="7"/>
        <v>0</v>
      </c>
      <c r="K41" s="61">
        <f t="shared" si="7"/>
        <v>1895.2800000000002</v>
      </c>
      <c r="L41" s="61">
        <f t="shared" si="7"/>
        <v>0</v>
      </c>
      <c r="M41" s="61">
        <f t="shared" si="7"/>
        <v>289573.3762919493</v>
      </c>
      <c r="N41" s="61">
        <f t="shared" si="7"/>
        <v>4695.4288181114362</v>
      </c>
      <c r="O41" s="61">
        <f t="shared" si="7"/>
        <v>294268.80511006073</v>
      </c>
      <c r="P41" s="33"/>
      <c r="Q41" s="33"/>
    </row>
    <row r="42" spans="1:17" s="7" customFormat="1" ht="11" thickBot="1" x14ac:dyDescent="0.3">
      <c r="A42" s="32" t="s">
        <v>196</v>
      </c>
      <c r="B42" s="58" t="s">
        <v>14</v>
      </c>
      <c r="C42" s="59"/>
      <c r="D42" s="60">
        <f>+D24+D30+D36</f>
        <v>99576</v>
      </c>
      <c r="E42" s="61">
        <f>+E24+E30+E36</f>
        <v>265799.52688172041</v>
      </c>
      <c r="F42" s="61">
        <f t="shared" ref="F42:O42" si="8">+F24+F30+F36</f>
        <v>128700.00000000003</v>
      </c>
      <c r="G42" s="61">
        <f t="shared" si="8"/>
        <v>11324.727753034929</v>
      </c>
      <c r="H42" s="61">
        <f t="shared" si="8"/>
        <v>110000</v>
      </c>
      <c r="I42" s="61">
        <f t="shared" si="8"/>
        <v>80104.240000000005</v>
      </c>
      <c r="J42" s="61">
        <f t="shared" si="8"/>
        <v>0</v>
      </c>
      <c r="K42" s="61">
        <f t="shared" si="8"/>
        <v>5208.84</v>
      </c>
      <c r="L42" s="61">
        <f t="shared" si="8"/>
        <v>0</v>
      </c>
      <c r="M42" s="61">
        <f t="shared" si="8"/>
        <v>312304.13463475538</v>
      </c>
      <c r="N42" s="61">
        <f t="shared" si="8"/>
        <v>5064.0077915897582</v>
      </c>
      <c r="O42" s="61">
        <f t="shared" si="8"/>
        <v>317368.14242634515</v>
      </c>
      <c r="P42" s="33"/>
      <c r="Q42" s="33"/>
    </row>
    <row r="43" spans="1:17" x14ac:dyDescent="0.25">
      <c r="D43" s="13">
        <f>SUM(D40:D42)</f>
        <v>165452</v>
      </c>
      <c r="E43" s="13">
        <f t="shared" ref="E43:O43" si="9">SUM(E40:E42)</f>
        <v>452178.03996715555</v>
      </c>
      <c r="F43" s="13">
        <f t="shared" si="9"/>
        <v>186780.00000000003</v>
      </c>
      <c r="G43" s="13">
        <f t="shared" si="9"/>
        <v>26588.80731132588</v>
      </c>
      <c r="H43" s="13">
        <f t="shared" si="9"/>
        <v>334842</v>
      </c>
      <c r="I43" s="13">
        <f t="shared" si="9"/>
        <v>172694.55</v>
      </c>
      <c r="J43" s="13">
        <f t="shared" si="9"/>
        <v>0</v>
      </c>
      <c r="K43" s="13">
        <f t="shared" si="9"/>
        <v>8999.4000000000015</v>
      </c>
      <c r="L43" s="13">
        <f t="shared" si="9"/>
        <v>0</v>
      </c>
      <c r="M43" s="13">
        <f t="shared" si="9"/>
        <v>891075.46218903642</v>
      </c>
      <c r="N43" s="13">
        <f t="shared" si="9"/>
        <v>14448.777915467128</v>
      </c>
      <c r="O43" s="13">
        <f t="shared" si="9"/>
        <v>905524.24010450358</v>
      </c>
    </row>
    <row r="44" spans="1:17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7" x14ac:dyDescent="0.25">
      <c r="D45" s="13">
        <f>+D11+D18+D24+D30+D36</f>
        <v>165452</v>
      </c>
      <c r="E45" s="13">
        <f>+E11+E18+E24+E30+E36</f>
        <v>452178.03996715555</v>
      </c>
      <c r="F45" s="13">
        <f t="shared" ref="F45:O45" si="10">+F11+F18+F24+F30+F36</f>
        <v>186780.00000000003</v>
      </c>
      <c r="G45" s="13">
        <f t="shared" si="10"/>
        <v>24414.672221880865</v>
      </c>
      <c r="H45" s="13">
        <f t="shared" si="10"/>
        <v>334842</v>
      </c>
      <c r="I45" s="13">
        <f t="shared" si="10"/>
        <v>172694.55</v>
      </c>
      <c r="J45" s="13">
        <f t="shared" si="10"/>
        <v>0</v>
      </c>
      <c r="K45" s="13">
        <f t="shared" si="10"/>
        <v>8999.4000000000015</v>
      </c>
      <c r="L45" s="13">
        <f t="shared" si="10"/>
        <v>0</v>
      </c>
      <c r="M45" s="13">
        <f t="shared" si="10"/>
        <v>891075.46218903642</v>
      </c>
      <c r="N45" s="13">
        <f t="shared" si="10"/>
        <v>14448.777915467126</v>
      </c>
      <c r="O45" s="13">
        <f t="shared" si="10"/>
        <v>905524.24010450358</v>
      </c>
    </row>
    <row r="46" spans="1:17" x14ac:dyDescent="0.25"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127" spans="6:6" x14ac:dyDescent="0.25">
      <c r="F127" s="2">
        <f>SUM(F118:F126)</f>
        <v>0</v>
      </c>
    </row>
  </sheetData>
  <customSheetViews>
    <customSheetView guid="{6C0BD6A7-6718-429D-82D9-D2FE0341EA2C}" showPageBreaks="1" printArea="1" hiddenColumns="1">
      <pane xSplit="3" ySplit="3" topLeftCell="D25" activePane="bottomRight" state="frozen"/>
      <selection pane="bottomRight" activeCell="F43" sqref="F43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594C4AB0-8D5F-4373-9663-410F4413FE3A}" showPageBreaks="1" printArea="1" hiddenColumns="1">
      <pane xSplit="3" ySplit="3" topLeftCell="D13" activePane="bottomRight" state="frozen"/>
      <selection pane="bottomRight" activeCell="I3" sqref="I3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DF69299D-7752-4436-A45D-28F739CEE21B}" showPageBreaks="1" printArea="1" hiddenColumns="1">
      <pane xSplit="3" ySplit="3" topLeftCell="D27" activePane="bottomRight" state="frozen"/>
      <selection pane="bottomRight" activeCell="F35" sqref="F35"/>
      <pageMargins left="0" right="0" top="0" bottom="0" header="0.31496062992125984" footer="0.31496062992125984"/>
      <pageSetup paperSize="9" scale="85" orientation="landscape" r:id="rId3"/>
      <headerFooter alignWithMargins="0"/>
    </customSheetView>
  </customSheetViews>
  <mergeCells count="5">
    <mergeCell ref="D6:F6"/>
    <mergeCell ref="D13:F13"/>
    <mergeCell ref="D26:F26"/>
    <mergeCell ref="D20:F20"/>
    <mergeCell ref="D32:F32"/>
  </mergeCells>
  <phoneticPr fontId="0" type="noConversion"/>
  <pageMargins left="0" right="0" top="0" bottom="0" header="0.31496062992125984" footer="0.31496062992125984"/>
  <pageSetup paperSize="9" scale="85" orientation="landscape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H198"/>
  <sheetViews>
    <sheetView zoomScale="90" zoomScaleNormal="90" workbookViewId="0">
      <pane ySplit="2" topLeftCell="A162" activePane="bottomLeft" state="frozen"/>
      <selection pane="bottomLeft" activeCell="A69" sqref="A69"/>
    </sheetView>
  </sheetViews>
  <sheetFormatPr defaultColWidth="9.1796875" defaultRowHeight="10.5" x14ac:dyDescent="0.25"/>
  <cols>
    <col min="1" max="1" width="9.7265625" style="2" bestFit="1" customWidth="1"/>
    <col min="2" max="2" width="24" style="2" bestFit="1" customWidth="1"/>
    <col min="3" max="3" width="5.81640625" style="4" bestFit="1" customWidth="1"/>
    <col min="4" max="4" width="6.26953125" style="2" bestFit="1" customWidth="1"/>
    <col min="5" max="5" width="7" style="2" bestFit="1" customWidth="1"/>
    <col min="6" max="6" width="17.453125" style="2" bestFit="1" customWidth="1"/>
    <col min="7" max="7" width="19.26953125" style="2" bestFit="1" customWidth="1"/>
    <col min="8" max="8" width="18.453125" style="2" bestFit="1" customWidth="1"/>
    <col min="9" max="16384" width="9.1796875" style="2"/>
  </cols>
  <sheetData>
    <row r="1" spans="1:8" ht="11" thickBot="1" x14ac:dyDescent="0.3">
      <c r="A1" s="319" t="s">
        <v>647</v>
      </c>
    </row>
    <row r="2" spans="1:8" ht="11" thickBot="1" x14ac:dyDescent="0.3">
      <c r="A2" s="320" t="s">
        <v>545</v>
      </c>
      <c r="B2" s="321" t="s">
        <v>1</v>
      </c>
      <c r="C2" s="322"/>
      <c r="D2" s="322" t="s">
        <v>2</v>
      </c>
      <c r="E2" s="322" t="s">
        <v>546</v>
      </c>
      <c r="F2" s="321" t="s">
        <v>542</v>
      </c>
      <c r="G2" s="321" t="s">
        <v>543</v>
      </c>
      <c r="H2" s="323" t="s">
        <v>544</v>
      </c>
    </row>
    <row r="3" spans="1:8" s="4" customFormat="1" ht="17.5" customHeight="1" x14ac:dyDescent="0.25">
      <c r="A3" s="324" t="s">
        <v>648</v>
      </c>
      <c r="B3" s="325" t="s">
        <v>649</v>
      </c>
      <c r="C3" s="326" t="s">
        <v>650</v>
      </c>
      <c r="D3" s="327">
        <v>9</v>
      </c>
      <c r="E3" s="326" t="s">
        <v>651</v>
      </c>
      <c r="F3" s="328" t="s">
        <v>652</v>
      </c>
      <c r="G3" s="328" t="s">
        <v>653</v>
      </c>
      <c r="H3" s="329" t="s">
        <v>654</v>
      </c>
    </row>
    <row r="4" spans="1:8" ht="13.15" customHeight="1" x14ac:dyDescent="0.25">
      <c r="A4" s="330" t="s">
        <v>655</v>
      </c>
      <c r="B4" s="8" t="s">
        <v>656</v>
      </c>
      <c r="C4" s="14" t="s">
        <v>650</v>
      </c>
      <c r="D4" s="331">
        <v>12</v>
      </c>
      <c r="E4" s="14" t="s">
        <v>651</v>
      </c>
      <c r="F4" s="8" t="s">
        <v>657</v>
      </c>
      <c r="G4" s="8" t="s">
        <v>658</v>
      </c>
      <c r="H4" s="332" t="s">
        <v>659</v>
      </c>
    </row>
    <row r="5" spans="1:8" ht="13.15" customHeight="1" x14ac:dyDescent="0.25">
      <c r="A5" s="330" t="s">
        <v>660</v>
      </c>
      <c r="B5" s="8" t="s">
        <v>661</v>
      </c>
      <c r="C5" s="14" t="s">
        <v>650</v>
      </c>
      <c r="D5" s="333">
        <v>15</v>
      </c>
      <c r="E5" s="14" t="s">
        <v>662</v>
      </c>
      <c r="F5" s="8" t="s">
        <v>663</v>
      </c>
      <c r="G5" s="8" t="s">
        <v>664</v>
      </c>
      <c r="H5" s="332" t="s">
        <v>665</v>
      </c>
    </row>
    <row r="6" spans="1:8" ht="13.15" customHeight="1" x14ac:dyDescent="0.25">
      <c r="A6" s="330" t="s">
        <v>666</v>
      </c>
      <c r="B6" s="8" t="s">
        <v>667</v>
      </c>
      <c r="C6" s="14" t="s">
        <v>668</v>
      </c>
      <c r="D6" s="333">
        <v>16</v>
      </c>
      <c r="E6" s="14" t="s">
        <v>669</v>
      </c>
      <c r="F6" s="8"/>
      <c r="G6" s="41" t="s">
        <v>670</v>
      </c>
      <c r="H6" s="332" t="s">
        <v>671</v>
      </c>
    </row>
    <row r="7" spans="1:8" ht="13.15" customHeight="1" x14ac:dyDescent="0.25">
      <c r="A7" s="330" t="s">
        <v>672</v>
      </c>
      <c r="B7" s="8" t="s">
        <v>29</v>
      </c>
      <c r="C7" s="14" t="s">
        <v>668</v>
      </c>
      <c r="D7" s="334">
        <v>17</v>
      </c>
      <c r="E7" s="14" t="s">
        <v>669</v>
      </c>
      <c r="F7" s="8"/>
      <c r="G7" s="41" t="s">
        <v>673</v>
      </c>
      <c r="H7" s="332" t="s">
        <v>674</v>
      </c>
    </row>
    <row r="8" spans="1:8" ht="13.15" customHeight="1" x14ac:dyDescent="0.25">
      <c r="A8" s="330" t="s">
        <v>675</v>
      </c>
      <c r="B8" s="8" t="s">
        <v>29</v>
      </c>
      <c r="C8" s="14" t="s">
        <v>668</v>
      </c>
      <c r="D8" s="333">
        <v>18</v>
      </c>
      <c r="E8" s="14" t="s">
        <v>669</v>
      </c>
      <c r="F8" s="8"/>
      <c r="G8" s="41" t="s">
        <v>676</v>
      </c>
      <c r="H8" s="332" t="s">
        <v>674</v>
      </c>
    </row>
    <row r="9" spans="1:8" ht="13.15" customHeight="1" x14ac:dyDescent="0.25">
      <c r="A9" s="330" t="s">
        <v>677</v>
      </c>
      <c r="B9" s="8" t="s">
        <v>678</v>
      </c>
      <c r="C9" s="14" t="s">
        <v>668</v>
      </c>
      <c r="D9" s="333">
        <v>19</v>
      </c>
      <c r="E9" s="14" t="s">
        <v>669</v>
      </c>
      <c r="F9" s="8"/>
      <c r="G9" s="8" t="s">
        <v>679</v>
      </c>
      <c r="H9" s="332" t="s">
        <v>680</v>
      </c>
    </row>
    <row r="10" spans="1:8" ht="13.15" customHeight="1" x14ac:dyDescent="0.25">
      <c r="A10" s="330" t="s">
        <v>681</v>
      </c>
      <c r="B10" s="8" t="s">
        <v>682</v>
      </c>
      <c r="C10" s="14" t="s">
        <v>668</v>
      </c>
      <c r="D10" s="331">
        <v>20</v>
      </c>
      <c r="E10" s="14" t="s">
        <v>651</v>
      </c>
      <c r="F10" s="8"/>
      <c r="G10" s="8" t="s">
        <v>683</v>
      </c>
      <c r="H10" s="332" t="s">
        <v>684</v>
      </c>
    </row>
    <row r="11" spans="1:8" ht="13.15" customHeight="1" x14ac:dyDescent="0.25">
      <c r="A11" s="330" t="s">
        <v>685</v>
      </c>
      <c r="B11" s="8" t="s">
        <v>29</v>
      </c>
      <c r="C11" s="14" t="s">
        <v>686</v>
      </c>
      <c r="D11" s="331">
        <v>21</v>
      </c>
      <c r="E11" s="14" t="s">
        <v>651</v>
      </c>
      <c r="F11" s="8"/>
      <c r="G11" s="41" t="s">
        <v>687</v>
      </c>
      <c r="H11" s="332" t="s">
        <v>688</v>
      </c>
    </row>
    <row r="12" spans="1:8" ht="13.15" customHeight="1" x14ac:dyDescent="0.25">
      <c r="A12" s="330" t="s">
        <v>689</v>
      </c>
      <c r="B12" s="8" t="s">
        <v>690</v>
      </c>
      <c r="C12" s="14" t="s">
        <v>691</v>
      </c>
      <c r="D12" s="331">
        <v>22</v>
      </c>
      <c r="E12" s="14" t="s">
        <v>651</v>
      </c>
      <c r="F12" s="8" t="s">
        <v>692</v>
      </c>
      <c r="G12" s="8" t="s">
        <v>693</v>
      </c>
      <c r="H12" s="332" t="s">
        <v>694</v>
      </c>
    </row>
    <row r="13" spans="1:8" ht="13.15" customHeight="1" x14ac:dyDescent="0.25">
      <c r="A13" s="330" t="s">
        <v>695</v>
      </c>
      <c r="B13" s="8" t="s">
        <v>696</v>
      </c>
      <c r="C13" s="14" t="s">
        <v>650</v>
      </c>
      <c r="D13" s="331">
        <v>24</v>
      </c>
      <c r="E13" s="14" t="s">
        <v>651</v>
      </c>
      <c r="F13" s="41" t="s">
        <v>697</v>
      </c>
      <c r="G13" s="8" t="s">
        <v>698</v>
      </c>
      <c r="H13" s="332" t="s">
        <v>699</v>
      </c>
    </row>
    <row r="14" spans="1:8" ht="13.15" customHeight="1" x14ac:dyDescent="0.25">
      <c r="A14" s="330" t="s">
        <v>700</v>
      </c>
      <c r="B14" s="8" t="s">
        <v>656</v>
      </c>
      <c r="C14" s="14" t="s">
        <v>650</v>
      </c>
      <c r="D14" s="331">
        <v>25</v>
      </c>
      <c r="E14" s="14" t="s">
        <v>651</v>
      </c>
      <c r="F14" s="8" t="s">
        <v>701</v>
      </c>
      <c r="G14" s="8" t="s">
        <v>702</v>
      </c>
      <c r="H14" s="332" t="s">
        <v>703</v>
      </c>
    </row>
    <row r="15" spans="1:8" ht="13.15" customHeight="1" x14ac:dyDescent="0.25">
      <c r="A15" s="330" t="s">
        <v>704</v>
      </c>
      <c r="B15" s="8" t="s">
        <v>705</v>
      </c>
      <c r="C15" s="14" t="s">
        <v>706</v>
      </c>
      <c r="D15" s="331">
        <v>27</v>
      </c>
      <c r="E15" s="14" t="s">
        <v>651</v>
      </c>
      <c r="F15" s="8" t="s">
        <v>707</v>
      </c>
      <c r="G15" s="41" t="s">
        <v>708</v>
      </c>
      <c r="H15" s="332" t="s">
        <v>709</v>
      </c>
    </row>
    <row r="16" spans="1:8" x14ac:dyDescent="0.25">
      <c r="A16" s="330" t="s">
        <v>710</v>
      </c>
      <c r="B16" s="8" t="s">
        <v>705</v>
      </c>
      <c r="C16" s="14" t="s">
        <v>706</v>
      </c>
      <c r="D16" s="333">
        <v>28</v>
      </c>
      <c r="E16" s="14" t="s">
        <v>711</v>
      </c>
      <c r="F16" s="8" t="s">
        <v>712</v>
      </c>
      <c r="G16" s="41" t="s">
        <v>713</v>
      </c>
      <c r="H16" s="332" t="s">
        <v>714</v>
      </c>
    </row>
    <row r="17" spans="1:8" ht="13.15" customHeight="1" x14ac:dyDescent="0.25">
      <c r="A17" s="330" t="s">
        <v>715</v>
      </c>
      <c r="B17" s="8" t="s">
        <v>716</v>
      </c>
      <c r="C17" s="14" t="s">
        <v>650</v>
      </c>
      <c r="D17" s="331">
        <v>31</v>
      </c>
      <c r="E17" s="14" t="s">
        <v>651</v>
      </c>
      <c r="F17" s="8" t="s">
        <v>717</v>
      </c>
      <c r="G17" s="8" t="s">
        <v>718</v>
      </c>
      <c r="H17" s="332" t="s">
        <v>719</v>
      </c>
    </row>
    <row r="18" spans="1:8" ht="13.15" customHeight="1" x14ac:dyDescent="0.25">
      <c r="A18" s="330" t="s">
        <v>720</v>
      </c>
      <c r="B18" s="8" t="s">
        <v>716</v>
      </c>
      <c r="C18" s="14" t="s">
        <v>650</v>
      </c>
      <c r="D18" s="333">
        <v>32</v>
      </c>
      <c r="E18" s="14" t="s">
        <v>721</v>
      </c>
      <c r="F18" s="8" t="s">
        <v>722</v>
      </c>
      <c r="G18" s="8" t="s">
        <v>723</v>
      </c>
      <c r="H18" s="332" t="s">
        <v>719</v>
      </c>
    </row>
    <row r="19" spans="1:8" ht="13.15" customHeight="1" x14ac:dyDescent="0.25">
      <c r="A19" s="330" t="s">
        <v>724</v>
      </c>
      <c r="B19" s="8" t="s">
        <v>716</v>
      </c>
      <c r="C19" s="14" t="s">
        <v>650</v>
      </c>
      <c r="D19" s="331">
        <v>34</v>
      </c>
      <c r="E19" s="14" t="s">
        <v>651</v>
      </c>
      <c r="F19" s="8" t="s">
        <v>725</v>
      </c>
      <c r="G19" s="8" t="s">
        <v>726</v>
      </c>
      <c r="H19" s="332" t="s">
        <v>727</v>
      </c>
    </row>
    <row r="20" spans="1:8" ht="13.15" customHeight="1" x14ac:dyDescent="0.25">
      <c r="A20" s="330" t="s">
        <v>728</v>
      </c>
      <c r="B20" s="8" t="s">
        <v>716</v>
      </c>
      <c r="C20" s="14" t="s">
        <v>650</v>
      </c>
      <c r="D20" s="331">
        <v>42</v>
      </c>
      <c r="E20" s="14" t="s">
        <v>651</v>
      </c>
      <c r="F20" s="8" t="s">
        <v>729</v>
      </c>
      <c r="G20" s="8" t="s">
        <v>730</v>
      </c>
      <c r="H20" s="332" t="s">
        <v>731</v>
      </c>
    </row>
    <row r="21" spans="1:8" ht="13.15" customHeight="1" x14ac:dyDescent="0.25">
      <c r="A21" s="330" t="s">
        <v>732</v>
      </c>
      <c r="B21" s="8" t="s">
        <v>733</v>
      </c>
      <c r="C21" s="14" t="s">
        <v>706</v>
      </c>
      <c r="D21" s="333">
        <v>44</v>
      </c>
      <c r="E21" s="14" t="s">
        <v>20</v>
      </c>
      <c r="F21" s="8" t="s">
        <v>734</v>
      </c>
      <c r="G21" s="8" t="s">
        <v>735</v>
      </c>
      <c r="H21" s="332" t="s">
        <v>736</v>
      </c>
    </row>
    <row r="22" spans="1:8" ht="13.15" customHeight="1" x14ac:dyDescent="0.25">
      <c r="A22" s="330" t="s">
        <v>737</v>
      </c>
      <c r="B22" s="8" t="s">
        <v>733</v>
      </c>
      <c r="C22" s="14" t="s">
        <v>706</v>
      </c>
      <c r="D22" s="333">
        <v>45</v>
      </c>
      <c r="E22" s="14" t="s">
        <v>20</v>
      </c>
      <c r="F22" s="41" t="s">
        <v>738</v>
      </c>
      <c r="G22" s="8" t="s">
        <v>739</v>
      </c>
      <c r="H22" s="332" t="s">
        <v>740</v>
      </c>
    </row>
    <row r="23" spans="1:8" x14ac:dyDescent="0.25">
      <c r="A23" s="330" t="s">
        <v>741</v>
      </c>
      <c r="B23" s="8" t="s">
        <v>733</v>
      </c>
      <c r="C23" s="14" t="s">
        <v>706</v>
      </c>
      <c r="D23" s="333">
        <v>46</v>
      </c>
      <c r="E23" s="14" t="s">
        <v>742</v>
      </c>
      <c r="F23" s="41" t="s">
        <v>743</v>
      </c>
      <c r="G23" s="8" t="s">
        <v>744</v>
      </c>
      <c r="H23" s="332" t="s">
        <v>745</v>
      </c>
    </row>
    <row r="24" spans="1:8" ht="13.15" customHeight="1" x14ac:dyDescent="0.25">
      <c r="A24" s="330" t="s">
        <v>746</v>
      </c>
      <c r="B24" s="8" t="s">
        <v>733</v>
      </c>
      <c r="C24" s="14" t="s">
        <v>706</v>
      </c>
      <c r="D24" s="333">
        <v>47</v>
      </c>
      <c r="E24" s="14" t="s">
        <v>20</v>
      </c>
      <c r="F24" s="8" t="s">
        <v>747</v>
      </c>
      <c r="G24" s="8" t="s">
        <v>748</v>
      </c>
      <c r="H24" s="332" t="s">
        <v>749</v>
      </c>
    </row>
    <row r="25" spans="1:8" ht="13.15" customHeight="1" x14ac:dyDescent="0.25">
      <c r="A25" s="330" t="s">
        <v>750</v>
      </c>
      <c r="B25" s="8" t="s">
        <v>733</v>
      </c>
      <c r="C25" s="14" t="s">
        <v>706</v>
      </c>
      <c r="D25" s="333">
        <v>48</v>
      </c>
      <c r="E25" s="14" t="s">
        <v>20</v>
      </c>
      <c r="F25" s="41" t="s">
        <v>751</v>
      </c>
      <c r="G25" s="8" t="s">
        <v>752</v>
      </c>
      <c r="H25" s="332" t="s">
        <v>749</v>
      </c>
    </row>
    <row r="26" spans="1:8" ht="13.15" customHeight="1" x14ac:dyDescent="0.25">
      <c r="A26" s="330" t="s">
        <v>753</v>
      </c>
      <c r="B26" s="8" t="s">
        <v>754</v>
      </c>
      <c r="C26" s="14" t="s">
        <v>755</v>
      </c>
      <c r="D26" s="333">
        <v>49</v>
      </c>
      <c r="E26" s="14" t="s">
        <v>20</v>
      </c>
      <c r="F26" s="8" t="s">
        <v>756</v>
      </c>
      <c r="G26" s="8" t="s">
        <v>757</v>
      </c>
      <c r="H26" s="332" t="s">
        <v>758</v>
      </c>
    </row>
    <row r="27" spans="1:8" ht="13.15" customHeight="1" x14ac:dyDescent="0.25">
      <c r="A27" s="330" t="s">
        <v>759</v>
      </c>
      <c r="B27" s="8" t="s">
        <v>760</v>
      </c>
      <c r="C27" s="14" t="s">
        <v>706</v>
      </c>
      <c r="D27" s="333">
        <v>50</v>
      </c>
      <c r="E27" s="14" t="s">
        <v>20</v>
      </c>
      <c r="F27" s="8" t="s">
        <v>761</v>
      </c>
      <c r="G27" s="8" t="s">
        <v>762</v>
      </c>
      <c r="H27" s="332" t="s">
        <v>763</v>
      </c>
    </row>
    <row r="28" spans="1:8" ht="13.15" customHeight="1" x14ac:dyDescent="0.25">
      <c r="A28" s="330" t="s">
        <v>764</v>
      </c>
      <c r="B28" s="8" t="s">
        <v>765</v>
      </c>
      <c r="C28" s="14" t="s">
        <v>706</v>
      </c>
      <c r="D28" s="335">
        <v>51</v>
      </c>
      <c r="E28" s="14" t="s">
        <v>20</v>
      </c>
      <c r="F28" s="8" t="s">
        <v>766</v>
      </c>
      <c r="G28" s="41" t="s">
        <v>767</v>
      </c>
      <c r="H28" s="332" t="s">
        <v>768</v>
      </c>
    </row>
    <row r="29" spans="1:8" ht="13.15" customHeight="1" x14ac:dyDescent="0.25">
      <c r="A29" s="330" t="s">
        <v>769</v>
      </c>
      <c r="B29" s="8" t="s">
        <v>770</v>
      </c>
      <c r="C29" s="14" t="s">
        <v>706</v>
      </c>
      <c r="D29" s="333">
        <v>52</v>
      </c>
      <c r="E29" s="14" t="s">
        <v>20</v>
      </c>
      <c r="F29" s="8" t="s">
        <v>771</v>
      </c>
      <c r="G29" s="8" t="s">
        <v>772</v>
      </c>
      <c r="H29" s="332" t="s">
        <v>773</v>
      </c>
    </row>
    <row r="30" spans="1:8" ht="13.15" customHeight="1" x14ac:dyDescent="0.25">
      <c r="A30" s="330" t="s">
        <v>774</v>
      </c>
      <c r="B30" s="8" t="s">
        <v>775</v>
      </c>
      <c r="C30" s="14" t="s">
        <v>706</v>
      </c>
      <c r="D30" s="333">
        <v>53</v>
      </c>
      <c r="E30" s="14" t="s">
        <v>20</v>
      </c>
      <c r="F30" s="8" t="s">
        <v>776</v>
      </c>
      <c r="G30" s="41" t="s">
        <v>777</v>
      </c>
      <c r="H30" s="332" t="s">
        <v>778</v>
      </c>
    </row>
    <row r="31" spans="1:8" ht="13.15" customHeight="1" x14ac:dyDescent="0.25">
      <c r="A31" s="330" t="s">
        <v>779</v>
      </c>
      <c r="B31" s="8" t="s">
        <v>69</v>
      </c>
      <c r="C31" s="14" t="s">
        <v>780</v>
      </c>
      <c r="D31" s="334">
        <v>54</v>
      </c>
      <c r="E31" s="14" t="s">
        <v>20</v>
      </c>
      <c r="F31" s="41" t="s">
        <v>781</v>
      </c>
      <c r="G31" s="41" t="s">
        <v>782</v>
      </c>
      <c r="H31" s="332" t="s">
        <v>783</v>
      </c>
    </row>
    <row r="32" spans="1:8" ht="13.15" customHeight="1" x14ac:dyDescent="0.25">
      <c r="A32" s="330" t="s">
        <v>784</v>
      </c>
      <c r="B32" s="8" t="s">
        <v>785</v>
      </c>
      <c r="C32" s="14" t="s">
        <v>755</v>
      </c>
      <c r="D32" s="333">
        <v>55</v>
      </c>
      <c r="E32" s="14" t="s">
        <v>20</v>
      </c>
      <c r="F32" s="8" t="s">
        <v>786</v>
      </c>
      <c r="G32" s="8" t="s">
        <v>787</v>
      </c>
      <c r="H32" s="332" t="s">
        <v>788</v>
      </c>
    </row>
    <row r="33" spans="1:8" ht="13.15" customHeight="1" x14ac:dyDescent="0.25">
      <c r="A33" s="330" t="s">
        <v>789</v>
      </c>
      <c r="B33" s="8" t="s">
        <v>667</v>
      </c>
      <c r="C33" s="14" t="s">
        <v>668</v>
      </c>
      <c r="D33" s="334">
        <v>56</v>
      </c>
      <c r="E33" s="14" t="s">
        <v>20</v>
      </c>
      <c r="F33" s="8"/>
      <c r="G33" s="41" t="s">
        <v>790</v>
      </c>
      <c r="H33" s="332" t="s">
        <v>791</v>
      </c>
    </row>
    <row r="34" spans="1:8" ht="13.15" customHeight="1" x14ac:dyDescent="0.25">
      <c r="A34" s="330" t="s">
        <v>792</v>
      </c>
      <c r="B34" s="8" t="s">
        <v>667</v>
      </c>
      <c r="C34" s="14" t="s">
        <v>668</v>
      </c>
      <c r="D34" s="334">
        <v>57</v>
      </c>
      <c r="E34" s="14" t="s">
        <v>20</v>
      </c>
      <c r="F34" s="8"/>
      <c r="G34" s="41" t="s">
        <v>793</v>
      </c>
      <c r="H34" s="332" t="s">
        <v>794</v>
      </c>
    </row>
    <row r="35" spans="1:8" ht="13.15" customHeight="1" x14ac:dyDescent="0.25">
      <c r="A35" s="330" t="s">
        <v>795</v>
      </c>
      <c r="B35" s="8" t="s">
        <v>29</v>
      </c>
      <c r="C35" s="14" t="s">
        <v>668</v>
      </c>
      <c r="D35" s="334">
        <v>58</v>
      </c>
      <c r="E35" s="14" t="s">
        <v>20</v>
      </c>
      <c r="F35" s="8"/>
      <c r="G35" s="41" t="s">
        <v>796</v>
      </c>
      <c r="H35" s="332" t="s">
        <v>797</v>
      </c>
    </row>
    <row r="36" spans="1:8" ht="13.15" customHeight="1" x14ac:dyDescent="0.25">
      <c r="A36" s="330" t="s">
        <v>798</v>
      </c>
      <c r="B36" s="8" t="s">
        <v>799</v>
      </c>
      <c r="C36" s="14" t="s">
        <v>668</v>
      </c>
      <c r="D36" s="334">
        <v>59</v>
      </c>
      <c r="E36" s="14" t="s">
        <v>20</v>
      </c>
      <c r="F36" s="8"/>
      <c r="G36" s="8" t="s">
        <v>800</v>
      </c>
      <c r="H36" s="332" t="s">
        <v>801</v>
      </c>
    </row>
    <row r="37" spans="1:8" ht="13.15" customHeight="1" x14ac:dyDescent="0.25">
      <c r="A37" s="330" t="s">
        <v>802</v>
      </c>
      <c r="B37" s="8" t="s">
        <v>678</v>
      </c>
      <c r="C37" s="14" t="s">
        <v>668</v>
      </c>
      <c r="D37" s="334">
        <v>60</v>
      </c>
      <c r="E37" s="14" t="s">
        <v>20</v>
      </c>
      <c r="F37" s="8"/>
      <c r="G37" s="8" t="s">
        <v>803</v>
      </c>
      <c r="H37" s="332" t="s">
        <v>804</v>
      </c>
    </row>
    <row r="38" spans="1:8" ht="13.15" customHeight="1" x14ac:dyDescent="0.25">
      <c r="A38" s="330" t="s">
        <v>805</v>
      </c>
      <c r="B38" s="8" t="s">
        <v>806</v>
      </c>
      <c r="C38" s="14" t="s">
        <v>650</v>
      </c>
      <c r="D38" s="331">
        <v>64</v>
      </c>
      <c r="E38" s="14" t="s">
        <v>651</v>
      </c>
      <c r="F38" s="41" t="s">
        <v>807</v>
      </c>
      <c r="G38" s="8" t="s">
        <v>808</v>
      </c>
      <c r="H38" s="332" t="s">
        <v>809</v>
      </c>
    </row>
    <row r="39" spans="1:8" ht="13.15" customHeight="1" x14ac:dyDescent="0.25">
      <c r="A39" s="330" t="s">
        <v>810</v>
      </c>
      <c r="B39" s="8" t="s">
        <v>811</v>
      </c>
      <c r="C39" s="14" t="s">
        <v>650</v>
      </c>
      <c r="D39" s="331">
        <v>65</v>
      </c>
      <c r="E39" s="14" t="s">
        <v>651</v>
      </c>
      <c r="F39" s="8" t="s">
        <v>812</v>
      </c>
      <c r="G39" s="8" t="s">
        <v>813</v>
      </c>
      <c r="H39" s="332" t="s">
        <v>814</v>
      </c>
    </row>
    <row r="40" spans="1:8" ht="13.15" customHeight="1" x14ac:dyDescent="0.25">
      <c r="A40" s="330" t="s">
        <v>815</v>
      </c>
      <c r="B40" s="8" t="s">
        <v>811</v>
      </c>
      <c r="C40" s="14" t="s">
        <v>650</v>
      </c>
      <c r="D40" s="331">
        <v>66</v>
      </c>
      <c r="E40" s="14" t="s">
        <v>651</v>
      </c>
      <c r="F40" s="41" t="s">
        <v>816</v>
      </c>
      <c r="G40" s="8" t="s">
        <v>817</v>
      </c>
      <c r="H40" s="332" t="s">
        <v>818</v>
      </c>
    </row>
    <row r="41" spans="1:8" ht="13.15" customHeight="1" x14ac:dyDescent="0.25">
      <c r="A41" s="330" t="s">
        <v>819</v>
      </c>
      <c r="B41" s="8" t="s">
        <v>656</v>
      </c>
      <c r="C41" s="14" t="s">
        <v>650</v>
      </c>
      <c r="D41" s="331">
        <v>67</v>
      </c>
      <c r="E41" s="14" t="s">
        <v>651</v>
      </c>
      <c r="F41" s="8" t="s">
        <v>820</v>
      </c>
      <c r="G41" s="8" t="s">
        <v>821</v>
      </c>
      <c r="H41" s="332" t="s">
        <v>822</v>
      </c>
    </row>
    <row r="42" spans="1:8" ht="13.15" customHeight="1" x14ac:dyDescent="0.25">
      <c r="A42" s="330" t="s">
        <v>823</v>
      </c>
      <c r="B42" s="8" t="s">
        <v>754</v>
      </c>
      <c r="C42" s="14" t="s">
        <v>755</v>
      </c>
      <c r="D42" s="333">
        <v>72</v>
      </c>
      <c r="E42" s="14" t="s">
        <v>21</v>
      </c>
      <c r="F42" s="8" t="s">
        <v>824</v>
      </c>
      <c r="G42" s="8" t="s">
        <v>825</v>
      </c>
      <c r="H42" s="332" t="s">
        <v>826</v>
      </c>
    </row>
    <row r="43" spans="1:8" x14ac:dyDescent="0.25">
      <c r="A43" s="330" t="s">
        <v>827</v>
      </c>
      <c r="B43" s="8" t="s">
        <v>754</v>
      </c>
      <c r="C43" s="14" t="s">
        <v>755</v>
      </c>
      <c r="D43" s="333">
        <v>73</v>
      </c>
      <c r="E43" s="14" t="s">
        <v>742</v>
      </c>
      <c r="F43" s="8" t="s">
        <v>828</v>
      </c>
      <c r="G43" s="8" t="s">
        <v>829</v>
      </c>
      <c r="H43" s="332" t="s">
        <v>826</v>
      </c>
    </row>
    <row r="44" spans="1:8" ht="13.15" customHeight="1" x14ac:dyDescent="0.25">
      <c r="A44" s="330" t="s">
        <v>830</v>
      </c>
      <c r="B44" s="8" t="s">
        <v>831</v>
      </c>
      <c r="C44" s="14" t="s">
        <v>755</v>
      </c>
      <c r="D44" s="333">
        <v>74</v>
      </c>
      <c r="E44" s="14" t="s">
        <v>21</v>
      </c>
      <c r="F44" s="8" t="s">
        <v>832</v>
      </c>
      <c r="G44" s="8" t="s">
        <v>833</v>
      </c>
      <c r="H44" s="332" t="s">
        <v>834</v>
      </c>
    </row>
    <row r="45" spans="1:8" ht="13.15" customHeight="1" x14ac:dyDescent="0.25">
      <c r="A45" s="330" t="s">
        <v>835</v>
      </c>
      <c r="B45" s="8" t="s">
        <v>831</v>
      </c>
      <c r="C45" s="14" t="s">
        <v>755</v>
      </c>
      <c r="D45" s="333">
        <v>75</v>
      </c>
      <c r="E45" s="14" t="s">
        <v>21</v>
      </c>
      <c r="F45" s="8" t="s">
        <v>836</v>
      </c>
      <c r="G45" s="8" t="s">
        <v>837</v>
      </c>
      <c r="H45" s="332" t="s">
        <v>838</v>
      </c>
    </row>
    <row r="46" spans="1:8" ht="13.15" customHeight="1" x14ac:dyDescent="0.25">
      <c r="A46" s="330" t="s">
        <v>839</v>
      </c>
      <c r="B46" s="8" t="s">
        <v>840</v>
      </c>
      <c r="C46" s="14" t="s">
        <v>691</v>
      </c>
      <c r="D46" s="331">
        <v>76</v>
      </c>
      <c r="E46" s="14" t="s">
        <v>651</v>
      </c>
      <c r="F46" s="8" t="s">
        <v>841</v>
      </c>
      <c r="G46" s="41" t="s">
        <v>842</v>
      </c>
      <c r="H46" s="332" t="s">
        <v>843</v>
      </c>
    </row>
    <row r="47" spans="1:8" ht="13.15" customHeight="1" x14ac:dyDescent="0.25">
      <c r="A47" s="330" t="s">
        <v>844</v>
      </c>
      <c r="B47" s="8" t="s">
        <v>27</v>
      </c>
      <c r="C47" s="14" t="s">
        <v>691</v>
      </c>
      <c r="D47" s="334">
        <v>77</v>
      </c>
      <c r="E47" s="14" t="s">
        <v>21</v>
      </c>
      <c r="F47" s="8" t="s">
        <v>845</v>
      </c>
      <c r="G47" s="8" t="s">
        <v>846</v>
      </c>
      <c r="H47" s="332" t="s">
        <v>847</v>
      </c>
    </row>
    <row r="48" spans="1:8" ht="13.15" customHeight="1" x14ac:dyDescent="0.25">
      <c r="A48" s="330" t="s">
        <v>848</v>
      </c>
      <c r="B48" s="8" t="s">
        <v>27</v>
      </c>
      <c r="C48" s="14" t="s">
        <v>691</v>
      </c>
      <c r="D48" s="334">
        <v>78</v>
      </c>
      <c r="E48" s="14" t="s">
        <v>742</v>
      </c>
      <c r="F48" s="8" t="s">
        <v>849</v>
      </c>
      <c r="G48" s="8" t="s">
        <v>850</v>
      </c>
      <c r="H48" s="332" t="s">
        <v>851</v>
      </c>
    </row>
    <row r="49" spans="1:8" ht="13.15" customHeight="1" x14ac:dyDescent="0.25">
      <c r="A49" s="330" t="s">
        <v>852</v>
      </c>
      <c r="B49" s="8" t="s">
        <v>853</v>
      </c>
      <c r="C49" s="14" t="s">
        <v>691</v>
      </c>
      <c r="D49" s="331">
        <v>80</v>
      </c>
      <c r="E49" s="14" t="s">
        <v>651</v>
      </c>
      <c r="F49" s="8" t="s">
        <v>854</v>
      </c>
      <c r="G49" s="8" t="s">
        <v>855</v>
      </c>
      <c r="H49" s="332" t="s">
        <v>856</v>
      </c>
    </row>
    <row r="50" spans="1:8" ht="13.15" customHeight="1" x14ac:dyDescent="0.25">
      <c r="A50" s="330" t="s">
        <v>857</v>
      </c>
      <c r="B50" s="8" t="s">
        <v>70</v>
      </c>
      <c r="C50" s="14" t="s">
        <v>691</v>
      </c>
      <c r="D50" s="334">
        <v>81</v>
      </c>
      <c r="E50" s="14" t="s">
        <v>21</v>
      </c>
      <c r="F50" s="8" t="s">
        <v>858</v>
      </c>
      <c r="G50" s="41" t="s">
        <v>859</v>
      </c>
      <c r="H50" s="332" t="s">
        <v>860</v>
      </c>
    </row>
    <row r="51" spans="1:8" ht="13.15" customHeight="1" x14ac:dyDescent="0.25">
      <c r="A51" s="330" t="s">
        <v>861</v>
      </c>
      <c r="B51" s="8" t="s">
        <v>27</v>
      </c>
      <c r="C51" s="14" t="s">
        <v>691</v>
      </c>
      <c r="D51" s="334">
        <v>82</v>
      </c>
      <c r="E51" s="14" t="s">
        <v>21</v>
      </c>
      <c r="F51" s="8" t="s">
        <v>862</v>
      </c>
      <c r="G51" s="8" t="s">
        <v>863</v>
      </c>
      <c r="H51" s="332" t="s">
        <v>864</v>
      </c>
    </row>
    <row r="52" spans="1:8" ht="13.15" customHeight="1" x14ac:dyDescent="0.25">
      <c r="A52" s="330" t="s">
        <v>865</v>
      </c>
      <c r="B52" s="8" t="s">
        <v>840</v>
      </c>
      <c r="C52" s="14" t="s">
        <v>691</v>
      </c>
      <c r="D52" s="334">
        <v>83</v>
      </c>
      <c r="E52" s="14" t="s">
        <v>742</v>
      </c>
      <c r="F52" s="8" t="s">
        <v>866</v>
      </c>
      <c r="G52" s="8" t="s">
        <v>867</v>
      </c>
      <c r="H52" s="332" t="s">
        <v>864</v>
      </c>
    </row>
    <row r="53" spans="1:8" ht="13.15" customHeight="1" x14ac:dyDescent="0.25">
      <c r="A53" s="330" t="s">
        <v>868</v>
      </c>
      <c r="B53" s="8" t="s">
        <v>840</v>
      </c>
      <c r="C53" s="14" t="s">
        <v>691</v>
      </c>
      <c r="D53" s="331">
        <v>84</v>
      </c>
      <c r="E53" s="14" t="s">
        <v>651</v>
      </c>
      <c r="F53" s="41" t="s">
        <v>869</v>
      </c>
      <c r="G53" s="8" t="s">
        <v>870</v>
      </c>
      <c r="H53" s="332" t="s">
        <v>871</v>
      </c>
    </row>
    <row r="54" spans="1:8" ht="13.15" customHeight="1" x14ac:dyDescent="0.25">
      <c r="A54" s="330" t="s">
        <v>872</v>
      </c>
      <c r="B54" s="8" t="s">
        <v>873</v>
      </c>
      <c r="C54" s="14" t="s">
        <v>686</v>
      </c>
      <c r="D54" s="334">
        <v>86</v>
      </c>
      <c r="E54" s="14" t="s">
        <v>21</v>
      </c>
      <c r="F54" s="8"/>
      <c r="G54" s="41" t="s">
        <v>874</v>
      </c>
      <c r="H54" s="332" t="s">
        <v>875</v>
      </c>
    </row>
    <row r="55" spans="1:8" ht="13.15" customHeight="1" x14ac:dyDescent="0.25">
      <c r="A55" s="330" t="s">
        <v>876</v>
      </c>
      <c r="B55" s="8" t="s">
        <v>667</v>
      </c>
      <c r="C55" s="14" t="s">
        <v>668</v>
      </c>
      <c r="D55" s="334">
        <v>87</v>
      </c>
      <c r="E55" s="14" t="s">
        <v>21</v>
      </c>
      <c r="F55" s="8"/>
      <c r="G55" s="41" t="s">
        <v>877</v>
      </c>
      <c r="H55" s="332" t="s">
        <v>878</v>
      </c>
    </row>
    <row r="56" spans="1:8" ht="13.15" customHeight="1" x14ac:dyDescent="0.25">
      <c r="A56" s="330" t="s">
        <v>879</v>
      </c>
      <c r="B56" s="8" t="s">
        <v>880</v>
      </c>
      <c r="C56" s="14" t="s">
        <v>706</v>
      </c>
      <c r="D56" s="333">
        <v>88</v>
      </c>
      <c r="E56" s="14" t="s">
        <v>21</v>
      </c>
      <c r="F56" s="8"/>
      <c r="G56" s="41" t="s">
        <v>881</v>
      </c>
      <c r="H56" s="332" t="s">
        <v>882</v>
      </c>
    </row>
    <row r="57" spans="1:8" ht="13.15" customHeight="1" x14ac:dyDescent="0.25">
      <c r="A57" s="330" t="s">
        <v>883</v>
      </c>
      <c r="B57" s="8" t="s">
        <v>884</v>
      </c>
      <c r="C57" s="14" t="s">
        <v>668</v>
      </c>
      <c r="D57" s="334">
        <v>89</v>
      </c>
      <c r="E57" s="14" t="s">
        <v>21</v>
      </c>
      <c r="F57" s="8"/>
      <c r="G57" s="41" t="s">
        <v>885</v>
      </c>
      <c r="H57" s="332" t="s">
        <v>886</v>
      </c>
    </row>
    <row r="58" spans="1:8" ht="13.15" customHeight="1" x14ac:dyDescent="0.25">
      <c r="A58" s="330" t="s">
        <v>887</v>
      </c>
      <c r="B58" s="8" t="s">
        <v>884</v>
      </c>
      <c r="C58" s="14" t="s">
        <v>668</v>
      </c>
      <c r="D58" s="334">
        <v>90</v>
      </c>
      <c r="E58" s="14" t="s">
        <v>21</v>
      </c>
      <c r="F58" s="8"/>
      <c r="G58" s="41" t="s">
        <v>888</v>
      </c>
      <c r="H58" s="332" t="s">
        <v>889</v>
      </c>
    </row>
    <row r="59" spans="1:8" ht="13.15" customHeight="1" x14ac:dyDescent="0.25">
      <c r="A59" s="330" t="s">
        <v>890</v>
      </c>
      <c r="B59" s="8" t="s">
        <v>884</v>
      </c>
      <c r="C59" s="14" t="s">
        <v>686</v>
      </c>
      <c r="D59" s="334">
        <v>91</v>
      </c>
      <c r="E59" s="14" t="s">
        <v>21</v>
      </c>
      <c r="F59" s="8"/>
      <c r="G59" s="41" t="s">
        <v>888</v>
      </c>
      <c r="H59" s="332" t="s">
        <v>891</v>
      </c>
    </row>
    <row r="60" spans="1:8" ht="13.15" customHeight="1" x14ac:dyDescent="0.25">
      <c r="A60" s="330" t="s">
        <v>892</v>
      </c>
      <c r="B60" s="8" t="s">
        <v>893</v>
      </c>
      <c r="C60" s="14" t="s">
        <v>668</v>
      </c>
      <c r="D60" s="331">
        <v>92</v>
      </c>
      <c r="E60" s="14" t="s">
        <v>651</v>
      </c>
      <c r="F60" s="8"/>
      <c r="G60" s="41" t="s">
        <v>894</v>
      </c>
      <c r="H60" s="332" t="s">
        <v>856</v>
      </c>
    </row>
    <row r="61" spans="1:8" ht="13.15" customHeight="1" x14ac:dyDescent="0.25">
      <c r="A61" s="330" t="s">
        <v>895</v>
      </c>
      <c r="B61" s="8" t="s">
        <v>880</v>
      </c>
      <c r="C61" s="14" t="s">
        <v>668</v>
      </c>
      <c r="D61" s="334">
        <v>94</v>
      </c>
      <c r="E61" s="14" t="s">
        <v>742</v>
      </c>
      <c r="F61" s="8"/>
      <c r="G61" s="41" t="s">
        <v>896</v>
      </c>
      <c r="H61" s="332" t="s">
        <v>897</v>
      </c>
    </row>
    <row r="62" spans="1:8" ht="13.15" customHeight="1" x14ac:dyDescent="0.25">
      <c r="A62" s="330" t="s">
        <v>898</v>
      </c>
      <c r="B62" s="8" t="s">
        <v>899</v>
      </c>
      <c r="C62" s="14" t="s">
        <v>668</v>
      </c>
      <c r="D62" s="331">
        <v>95</v>
      </c>
      <c r="E62" s="14" t="s">
        <v>651</v>
      </c>
      <c r="F62" s="8"/>
      <c r="G62" s="8" t="s">
        <v>900</v>
      </c>
      <c r="H62" s="332" t="s">
        <v>901</v>
      </c>
    </row>
    <row r="63" spans="1:8" ht="13.15" customHeight="1" x14ac:dyDescent="0.25">
      <c r="A63" s="330" t="s">
        <v>902</v>
      </c>
      <c r="B63" s="8" t="s">
        <v>29</v>
      </c>
      <c r="C63" s="14" t="s">
        <v>668</v>
      </c>
      <c r="D63" s="334">
        <v>97</v>
      </c>
      <c r="E63" s="14" t="s">
        <v>742</v>
      </c>
      <c r="F63" s="8"/>
      <c r="G63" s="41" t="s">
        <v>903</v>
      </c>
      <c r="H63" s="332" t="s">
        <v>904</v>
      </c>
    </row>
    <row r="64" spans="1:8" ht="13.15" customHeight="1" x14ac:dyDescent="0.25">
      <c r="A64" s="330" t="s">
        <v>905</v>
      </c>
      <c r="B64" s="8" t="s">
        <v>906</v>
      </c>
      <c r="C64" s="14" t="s">
        <v>668</v>
      </c>
      <c r="D64" s="334">
        <v>98</v>
      </c>
      <c r="E64" s="14" t="s">
        <v>742</v>
      </c>
      <c r="F64" s="8"/>
      <c r="G64" s="8" t="s">
        <v>907</v>
      </c>
      <c r="H64" s="332" t="s">
        <v>908</v>
      </c>
    </row>
    <row r="65" spans="1:8" ht="13.15" customHeight="1" x14ac:dyDescent="0.25">
      <c r="A65" s="330" t="s">
        <v>909</v>
      </c>
      <c r="B65" s="8" t="s">
        <v>69</v>
      </c>
      <c r="C65" s="14" t="s">
        <v>780</v>
      </c>
      <c r="D65" s="334">
        <v>99</v>
      </c>
      <c r="E65" s="14" t="s">
        <v>21</v>
      </c>
      <c r="F65" s="41" t="s">
        <v>910</v>
      </c>
      <c r="G65" s="41" t="s">
        <v>911</v>
      </c>
      <c r="H65" s="332" t="s">
        <v>912</v>
      </c>
    </row>
    <row r="66" spans="1:8" ht="13.15" customHeight="1" x14ac:dyDescent="0.25">
      <c r="A66" s="330" t="s">
        <v>913</v>
      </c>
      <c r="B66" s="8" t="s">
        <v>914</v>
      </c>
      <c r="C66" s="14" t="s">
        <v>668</v>
      </c>
      <c r="D66" s="334">
        <v>100</v>
      </c>
      <c r="E66" s="14" t="s">
        <v>21</v>
      </c>
      <c r="F66" s="8"/>
      <c r="G66" s="41" t="s">
        <v>877</v>
      </c>
      <c r="H66" s="332" t="s">
        <v>878</v>
      </c>
    </row>
    <row r="67" spans="1:8" ht="13.15" customHeight="1" x14ac:dyDescent="0.25">
      <c r="A67" s="330" t="s">
        <v>915</v>
      </c>
      <c r="B67" s="8" t="s">
        <v>29</v>
      </c>
      <c r="C67" s="14" t="s">
        <v>668</v>
      </c>
      <c r="D67" s="334">
        <v>101</v>
      </c>
      <c r="E67" s="14" t="s">
        <v>21</v>
      </c>
      <c r="F67" s="8"/>
      <c r="G67" s="41" t="s">
        <v>916</v>
      </c>
      <c r="H67" s="332" t="s">
        <v>917</v>
      </c>
    </row>
    <row r="68" spans="1:8" ht="13.15" customHeight="1" x14ac:dyDescent="0.25">
      <c r="A68" s="330" t="s">
        <v>1460</v>
      </c>
      <c r="B68" s="8" t="s">
        <v>64</v>
      </c>
      <c r="C68" s="14" t="s">
        <v>918</v>
      </c>
      <c r="D68" s="334">
        <v>102</v>
      </c>
      <c r="E68" s="14" t="s">
        <v>21</v>
      </c>
      <c r="F68" s="41" t="s">
        <v>919</v>
      </c>
      <c r="G68" s="41" t="s">
        <v>920</v>
      </c>
      <c r="H68" s="332" t="s">
        <v>921</v>
      </c>
    </row>
    <row r="69" spans="1:8" ht="13.15" customHeight="1" x14ac:dyDescent="0.25">
      <c r="A69" s="330" t="s">
        <v>922</v>
      </c>
      <c r="B69" s="8" t="s">
        <v>65</v>
      </c>
      <c r="C69" s="14" t="s">
        <v>918</v>
      </c>
      <c r="D69" s="334">
        <v>103</v>
      </c>
      <c r="E69" s="14" t="s">
        <v>21</v>
      </c>
      <c r="F69" s="8" t="s">
        <v>923</v>
      </c>
      <c r="G69" s="41" t="s">
        <v>924</v>
      </c>
      <c r="H69" s="332" t="s">
        <v>925</v>
      </c>
    </row>
    <row r="70" spans="1:8" ht="13.15" customHeight="1" x14ac:dyDescent="0.25">
      <c r="A70" s="330" t="s">
        <v>926</v>
      </c>
      <c r="B70" s="8" t="s">
        <v>927</v>
      </c>
      <c r="C70" s="14" t="s">
        <v>668</v>
      </c>
      <c r="D70" s="334">
        <v>104</v>
      </c>
      <c r="E70" s="14" t="s">
        <v>21</v>
      </c>
      <c r="F70" s="8"/>
      <c r="G70" s="41" t="s">
        <v>928</v>
      </c>
      <c r="H70" s="332" t="s">
        <v>929</v>
      </c>
    </row>
    <row r="71" spans="1:8" ht="13.15" customHeight="1" x14ac:dyDescent="0.25">
      <c r="A71" s="330" t="s">
        <v>930</v>
      </c>
      <c r="B71" s="8" t="s">
        <v>931</v>
      </c>
      <c r="C71" s="14" t="s">
        <v>668</v>
      </c>
      <c r="D71" s="334">
        <v>105</v>
      </c>
      <c r="E71" s="14" t="s">
        <v>21</v>
      </c>
      <c r="F71" s="8"/>
      <c r="G71" s="8" t="s">
        <v>932</v>
      </c>
      <c r="H71" s="332" t="s">
        <v>933</v>
      </c>
    </row>
    <row r="72" spans="1:8" ht="13.15" customHeight="1" x14ac:dyDescent="0.25">
      <c r="A72" s="330" t="s">
        <v>934</v>
      </c>
      <c r="B72" s="8" t="s">
        <v>935</v>
      </c>
      <c r="C72" s="14" t="s">
        <v>668</v>
      </c>
      <c r="D72" s="334">
        <v>106</v>
      </c>
      <c r="E72" s="14" t="s">
        <v>21</v>
      </c>
      <c r="F72" s="8"/>
      <c r="G72" s="8" t="s">
        <v>936</v>
      </c>
      <c r="H72" s="332" t="s">
        <v>937</v>
      </c>
    </row>
    <row r="73" spans="1:8" ht="13.15" customHeight="1" x14ac:dyDescent="0.25">
      <c r="A73" s="330" t="s">
        <v>938</v>
      </c>
      <c r="B73" s="8" t="s">
        <v>66</v>
      </c>
      <c r="C73" s="14" t="s">
        <v>918</v>
      </c>
      <c r="D73" s="334">
        <v>108</v>
      </c>
      <c r="E73" s="14" t="s">
        <v>21</v>
      </c>
      <c r="F73" s="8" t="s">
        <v>939</v>
      </c>
      <c r="G73" s="41" t="s">
        <v>940</v>
      </c>
      <c r="H73" s="332" t="s">
        <v>941</v>
      </c>
    </row>
    <row r="74" spans="1:8" ht="13.15" customHeight="1" x14ac:dyDescent="0.25">
      <c r="A74" s="330" t="s">
        <v>942</v>
      </c>
      <c r="B74" s="8" t="s">
        <v>67</v>
      </c>
      <c r="C74" s="14" t="s">
        <v>918</v>
      </c>
      <c r="D74" s="334">
        <v>109</v>
      </c>
      <c r="E74" s="14" t="s">
        <v>21</v>
      </c>
      <c r="F74" s="41" t="s">
        <v>943</v>
      </c>
      <c r="G74" s="8" t="s">
        <v>944</v>
      </c>
      <c r="H74" s="332" t="s">
        <v>945</v>
      </c>
    </row>
    <row r="75" spans="1:8" x14ac:dyDescent="0.25">
      <c r="A75" s="330" t="s">
        <v>946</v>
      </c>
      <c r="B75" s="8" t="s">
        <v>947</v>
      </c>
      <c r="C75" s="14" t="s">
        <v>706</v>
      </c>
      <c r="D75" s="333">
        <v>110</v>
      </c>
      <c r="E75" s="14" t="s">
        <v>21</v>
      </c>
      <c r="F75" s="8" t="s">
        <v>948</v>
      </c>
      <c r="G75" s="8" t="s">
        <v>949</v>
      </c>
      <c r="H75" s="332" t="s">
        <v>950</v>
      </c>
    </row>
    <row r="76" spans="1:8" ht="13.15" customHeight="1" x14ac:dyDescent="0.25">
      <c r="A76" s="330" t="s">
        <v>951</v>
      </c>
      <c r="B76" s="8" t="s">
        <v>765</v>
      </c>
      <c r="C76" s="14"/>
      <c r="D76" s="331">
        <v>111</v>
      </c>
      <c r="E76" s="14" t="s">
        <v>651</v>
      </c>
      <c r="F76" s="41" t="s">
        <v>952</v>
      </c>
      <c r="G76" s="8" t="s">
        <v>953</v>
      </c>
      <c r="H76" s="332" t="s">
        <v>954</v>
      </c>
    </row>
    <row r="77" spans="1:8" ht="13.15" customHeight="1" x14ac:dyDescent="0.25">
      <c r="A77" s="330" t="s">
        <v>955</v>
      </c>
      <c r="B77" s="8" t="s">
        <v>733</v>
      </c>
      <c r="C77" s="14"/>
      <c r="D77" s="331">
        <v>114</v>
      </c>
      <c r="E77" s="14" t="s">
        <v>651</v>
      </c>
      <c r="F77" s="8" t="s">
        <v>956</v>
      </c>
      <c r="G77" s="41" t="s">
        <v>957</v>
      </c>
      <c r="H77" s="332" t="s">
        <v>958</v>
      </c>
    </row>
    <row r="78" spans="1:8" x14ac:dyDescent="0.25">
      <c r="A78" s="330" t="s">
        <v>959</v>
      </c>
      <c r="B78" s="8" t="s">
        <v>733</v>
      </c>
      <c r="C78" s="14" t="s">
        <v>706</v>
      </c>
      <c r="D78" s="333">
        <v>115</v>
      </c>
      <c r="E78" s="14" t="s">
        <v>21</v>
      </c>
      <c r="F78" s="8" t="s">
        <v>960</v>
      </c>
      <c r="G78" s="8" t="s">
        <v>961</v>
      </c>
      <c r="H78" s="332" t="s">
        <v>962</v>
      </c>
    </row>
    <row r="79" spans="1:8" x14ac:dyDescent="0.25">
      <c r="A79" s="330" t="s">
        <v>963</v>
      </c>
      <c r="B79" s="8" t="s">
        <v>831</v>
      </c>
      <c r="C79" s="14" t="s">
        <v>755</v>
      </c>
      <c r="D79" s="333">
        <v>116</v>
      </c>
      <c r="E79" s="14" t="s">
        <v>742</v>
      </c>
      <c r="F79" s="8" t="s">
        <v>964</v>
      </c>
      <c r="G79" s="8" t="s">
        <v>965</v>
      </c>
      <c r="H79" s="332" t="s">
        <v>788</v>
      </c>
    </row>
    <row r="80" spans="1:8" ht="13.9" customHeight="1" x14ac:dyDescent="0.25">
      <c r="A80" s="330" t="s">
        <v>966</v>
      </c>
      <c r="B80" s="8" t="s">
        <v>25</v>
      </c>
      <c r="C80" s="14" t="s">
        <v>918</v>
      </c>
      <c r="D80" s="334">
        <v>117</v>
      </c>
      <c r="E80" s="14" t="s">
        <v>21</v>
      </c>
      <c r="F80" s="8" t="s">
        <v>967</v>
      </c>
      <c r="G80" s="41" t="s">
        <v>968</v>
      </c>
      <c r="H80" s="332" t="s">
        <v>969</v>
      </c>
    </row>
    <row r="81" spans="1:8" ht="13.15" customHeight="1" x14ac:dyDescent="0.25">
      <c r="A81" s="330" t="s">
        <v>970</v>
      </c>
      <c r="B81" s="8" t="s">
        <v>25</v>
      </c>
      <c r="C81" s="14" t="s">
        <v>918</v>
      </c>
      <c r="D81" s="334">
        <v>118</v>
      </c>
      <c r="E81" s="14" t="s">
        <v>21</v>
      </c>
      <c r="F81" s="8" t="s">
        <v>971</v>
      </c>
      <c r="G81" s="41" t="s">
        <v>972</v>
      </c>
      <c r="H81" s="332" t="s">
        <v>969</v>
      </c>
    </row>
    <row r="82" spans="1:8" ht="13.15" customHeight="1" x14ac:dyDescent="0.25">
      <c r="A82" s="330" t="s">
        <v>973</v>
      </c>
      <c r="B82" s="8" t="s">
        <v>25</v>
      </c>
      <c r="C82" s="14" t="s">
        <v>918</v>
      </c>
      <c r="D82" s="334">
        <v>119</v>
      </c>
      <c r="E82" s="14" t="s">
        <v>21</v>
      </c>
      <c r="F82" s="8" t="s">
        <v>974</v>
      </c>
      <c r="G82" s="41" t="s">
        <v>975</v>
      </c>
      <c r="H82" s="332" t="s">
        <v>969</v>
      </c>
    </row>
    <row r="83" spans="1:8" ht="13.15" customHeight="1" x14ac:dyDescent="0.25">
      <c r="A83" s="330" t="s">
        <v>976</v>
      </c>
      <c r="B83" s="8" t="s">
        <v>68</v>
      </c>
      <c r="C83" s="14" t="s">
        <v>918</v>
      </c>
      <c r="D83" s="334">
        <v>120</v>
      </c>
      <c r="E83" s="336" t="s">
        <v>94</v>
      </c>
      <c r="F83" s="8" t="s">
        <v>977</v>
      </c>
      <c r="G83" s="8" t="s">
        <v>978</v>
      </c>
      <c r="H83" s="332" t="s">
        <v>979</v>
      </c>
    </row>
    <row r="84" spans="1:8" ht="13.15" customHeight="1" x14ac:dyDescent="0.25">
      <c r="A84" s="330" t="s">
        <v>980</v>
      </c>
      <c r="B84" s="8" t="s">
        <v>981</v>
      </c>
      <c r="C84" s="14" t="s">
        <v>691</v>
      </c>
      <c r="D84" s="331">
        <v>121</v>
      </c>
      <c r="E84" s="14" t="s">
        <v>651</v>
      </c>
      <c r="F84" s="8" t="s">
        <v>982</v>
      </c>
      <c r="G84" s="8" t="s">
        <v>983</v>
      </c>
      <c r="H84" s="332" t="s">
        <v>945</v>
      </c>
    </row>
    <row r="85" spans="1:8" ht="13.15" customHeight="1" x14ac:dyDescent="0.25">
      <c r="A85" s="330" t="s">
        <v>984</v>
      </c>
      <c r="B85" s="8" t="s">
        <v>64</v>
      </c>
      <c r="C85" s="14" t="s">
        <v>918</v>
      </c>
      <c r="D85" s="334">
        <v>122</v>
      </c>
      <c r="E85" s="14" t="s">
        <v>21</v>
      </c>
      <c r="F85" s="41" t="s">
        <v>985</v>
      </c>
      <c r="G85" s="41" t="s">
        <v>986</v>
      </c>
      <c r="H85" s="332" t="s">
        <v>987</v>
      </c>
    </row>
    <row r="86" spans="1:8" ht="13.15" customHeight="1" x14ac:dyDescent="0.25">
      <c r="A86" s="330" t="s">
        <v>988</v>
      </c>
      <c r="B86" s="8" t="s">
        <v>989</v>
      </c>
      <c r="C86" s="14" t="s">
        <v>918</v>
      </c>
      <c r="D86" s="331">
        <v>123</v>
      </c>
      <c r="E86" s="14" t="s">
        <v>651</v>
      </c>
      <c r="F86" s="41" t="s">
        <v>990</v>
      </c>
      <c r="G86" s="8" t="s">
        <v>991</v>
      </c>
      <c r="H86" s="332" t="s">
        <v>992</v>
      </c>
    </row>
    <row r="87" spans="1:8" x14ac:dyDescent="0.25">
      <c r="A87" s="330" t="s">
        <v>993</v>
      </c>
      <c r="B87" s="8" t="s">
        <v>994</v>
      </c>
      <c r="C87" s="14" t="s">
        <v>691</v>
      </c>
      <c r="D87" s="334">
        <v>124</v>
      </c>
      <c r="E87" s="14" t="s">
        <v>742</v>
      </c>
      <c r="F87" s="8" t="s">
        <v>995</v>
      </c>
      <c r="G87" s="8" t="s">
        <v>996</v>
      </c>
      <c r="H87" s="332" t="s">
        <v>997</v>
      </c>
    </row>
    <row r="88" spans="1:8" ht="13.15" customHeight="1" x14ac:dyDescent="0.25">
      <c r="A88" s="330" t="s">
        <v>998</v>
      </c>
      <c r="B88" s="8" t="s">
        <v>716</v>
      </c>
      <c r="C88" s="14" t="s">
        <v>650</v>
      </c>
      <c r="D88" s="331">
        <v>125</v>
      </c>
      <c r="E88" s="14" t="s">
        <v>651</v>
      </c>
      <c r="F88" s="8" t="s">
        <v>999</v>
      </c>
      <c r="G88" s="8" t="s">
        <v>1000</v>
      </c>
      <c r="H88" s="332" t="s">
        <v>1001</v>
      </c>
    </row>
    <row r="89" spans="1:8" ht="13.15" customHeight="1" x14ac:dyDescent="0.25">
      <c r="A89" s="330" t="s">
        <v>1002</v>
      </c>
      <c r="B89" s="8" t="s">
        <v>1003</v>
      </c>
      <c r="C89" s="14" t="s">
        <v>650</v>
      </c>
      <c r="D89" s="331">
        <v>126</v>
      </c>
      <c r="E89" s="14" t="s">
        <v>651</v>
      </c>
      <c r="F89" s="8" t="s">
        <v>1004</v>
      </c>
      <c r="G89" s="8" t="s">
        <v>1005</v>
      </c>
      <c r="H89" s="332" t="s">
        <v>1006</v>
      </c>
    </row>
    <row r="90" spans="1:8" ht="13.15" customHeight="1" x14ac:dyDescent="0.25">
      <c r="A90" s="330" t="s">
        <v>1007</v>
      </c>
      <c r="B90" s="8" t="s">
        <v>1003</v>
      </c>
      <c r="C90" s="14" t="s">
        <v>650</v>
      </c>
      <c r="D90" s="331">
        <v>127</v>
      </c>
      <c r="E90" s="14" t="s">
        <v>651</v>
      </c>
      <c r="F90" s="8" t="s">
        <v>1008</v>
      </c>
      <c r="G90" s="8" t="s">
        <v>1009</v>
      </c>
      <c r="H90" s="332" t="s">
        <v>1006</v>
      </c>
    </row>
    <row r="91" spans="1:8" ht="13.15" customHeight="1" x14ac:dyDescent="0.25">
      <c r="A91" s="330" t="s">
        <v>1010</v>
      </c>
      <c r="B91" s="8" t="s">
        <v>1011</v>
      </c>
      <c r="C91" s="14" t="s">
        <v>755</v>
      </c>
      <c r="D91" s="333">
        <v>128</v>
      </c>
      <c r="E91" s="14" t="s">
        <v>21</v>
      </c>
      <c r="F91" s="8" t="s">
        <v>1012</v>
      </c>
      <c r="G91" s="8" t="s">
        <v>1013</v>
      </c>
      <c r="H91" s="332" t="s">
        <v>1014</v>
      </c>
    </row>
    <row r="92" spans="1:8" ht="13.15" customHeight="1" x14ac:dyDescent="0.25">
      <c r="A92" s="330" t="s">
        <v>1015</v>
      </c>
      <c r="B92" s="8" t="s">
        <v>716</v>
      </c>
      <c r="C92" s="14" t="s">
        <v>650</v>
      </c>
      <c r="D92" s="333">
        <v>129</v>
      </c>
      <c r="E92" s="14" t="s">
        <v>20</v>
      </c>
      <c r="F92" s="8" t="s">
        <v>1016</v>
      </c>
      <c r="G92" s="8" t="s">
        <v>1017</v>
      </c>
      <c r="H92" s="332" t="s">
        <v>1018</v>
      </c>
    </row>
    <row r="93" spans="1:8" ht="13.15" customHeight="1" x14ac:dyDescent="0.25">
      <c r="A93" s="330" t="s">
        <v>1019</v>
      </c>
      <c r="B93" s="8" t="s">
        <v>716</v>
      </c>
      <c r="C93" s="14" t="s">
        <v>650</v>
      </c>
      <c r="D93" s="331">
        <v>130</v>
      </c>
      <c r="E93" s="14" t="s">
        <v>651</v>
      </c>
      <c r="F93" s="8" t="s">
        <v>1020</v>
      </c>
      <c r="G93" s="8" t="s">
        <v>1021</v>
      </c>
      <c r="H93" s="332" t="s">
        <v>1018</v>
      </c>
    </row>
    <row r="94" spans="1:8" ht="13.15" customHeight="1" x14ac:dyDescent="0.25">
      <c r="A94" s="330" t="s">
        <v>1022</v>
      </c>
      <c r="B94" s="8" t="s">
        <v>1023</v>
      </c>
      <c r="C94" s="14" t="s">
        <v>706</v>
      </c>
      <c r="D94" s="333">
        <v>131</v>
      </c>
      <c r="E94" s="14" t="s">
        <v>21</v>
      </c>
      <c r="F94" s="8" t="s">
        <v>1024</v>
      </c>
      <c r="G94" s="8" t="s">
        <v>1025</v>
      </c>
      <c r="H94" s="332" t="s">
        <v>1026</v>
      </c>
    </row>
    <row r="95" spans="1:8" ht="13.15" customHeight="1" x14ac:dyDescent="0.25">
      <c r="A95" s="330" t="s">
        <v>1027</v>
      </c>
      <c r="B95" s="8" t="s">
        <v>1028</v>
      </c>
      <c r="C95" s="14" t="s">
        <v>1029</v>
      </c>
      <c r="D95" s="331">
        <v>132</v>
      </c>
      <c r="E95" s="14" t="s">
        <v>651</v>
      </c>
      <c r="F95" s="8" t="s">
        <v>1030</v>
      </c>
      <c r="G95" s="8" t="s">
        <v>1031</v>
      </c>
      <c r="H95" s="332" t="s">
        <v>1032</v>
      </c>
    </row>
    <row r="96" spans="1:8" ht="13.9" customHeight="1" x14ac:dyDescent="0.25">
      <c r="A96" s="330" t="s">
        <v>1033</v>
      </c>
      <c r="B96" s="8" t="s">
        <v>25</v>
      </c>
      <c r="C96" s="14" t="s">
        <v>918</v>
      </c>
      <c r="D96" s="334">
        <v>133</v>
      </c>
      <c r="E96" s="14" t="s">
        <v>20</v>
      </c>
      <c r="F96" s="8" t="s">
        <v>1034</v>
      </c>
      <c r="G96" s="8" t="s">
        <v>1035</v>
      </c>
      <c r="H96" s="332" t="s">
        <v>1036</v>
      </c>
    </row>
    <row r="97" spans="1:8" ht="13.15" customHeight="1" x14ac:dyDescent="0.25">
      <c r="A97" s="330" t="s">
        <v>1037</v>
      </c>
      <c r="B97" s="8" t="s">
        <v>1038</v>
      </c>
      <c r="C97" s="14" t="s">
        <v>1029</v>
      </c>
      <c r="D97" s="333">
        <v>136</v>
      </c>
      <c r="E97" s="14" t="s">
        <v>669</v>
      </c>
      <c r="F97" s="8" t="s">
        <v>1039</v>
      </c>
      <c r="G97" s="8" t="s">
        <v>1040</v>
      </c>
      <c r="H97" s="332" t="s">
        <v>1041</v>
      </c>
    </row>
    <row r="98" spans="1:8" ht="13.15" customHeight="1" x14ac:dyDescent="0.25">
      <c r="A98" s="330" t="s">
        <v>1042</v>
      </c>
      <c r="B98" s="8" t="s">
        <v>1038</v>
      </c>
      <c r="C98" s="14" t="s">
        <v>1029</v>
      </c>
      <c r="D98" s="333">
        <v>137</v>
      </c>
      <c r="E98" s="14" t="s">
        <v>669</v>
      </c>
      <c r="F98" s="8" t="s">
        <v>1043</v>
      </c>
      <c r="G98" s="8" t="s">
        <v>1044</v>
      </c>
      <c r="H98" s="332" t="s">
        <v>1041</v>
      </c>
    </row>
    <row r="99" spans="1:8" ht="13.15" customHeight="1" x14ac:dyDescent="0.25">
      <c r="A99" s="330" t="s">
        <v>1045</v>
      </c>
      <c r="B99" s="8" t="s">
        <v>1046</v>
      </c>
      <c r="C99" s="14" t="s">
        <v>755</v>
      </c>
      <c r="D99" s="333">
        <v>138</v>
      </c>
      <c r="E99" s="14" t="s">
        <v>21</v>
      </c>
      <c r="F99" s="8" t="s">
        <v>1047</v>
      </c>
      <c r="G99" s="8" t="s">
        <v>1048</v>
      </c>
      <c r="H99" s="332" t="s">
        <v>1049</v>
      </c>
    </row>
    <row r="100" spans="1:8" ht="13.15" customHeight="1" x14ac:dyDescent="0.25">
      <c r="A100" s="330" t="s">
        <v>1050</v>
      </c>
      <c r="B100" s="8" t="s">
        <v>1051</v>
      </c>
      <c r="C100" s="14" t="s">
        <v>650</v>
      </c>
      <c r="D100" s="333">
        <v>140</v>
      </c>
      <c r="E100" s="14" t="s">
        <v>742</v>
      </c>
      <c r="F100" s="8" t="s">
        <v>1052</v>
      </c>
      <c r="G100" s="8" t="s">
        <v>1053</v>
      </c>
      <c r="H100" s="332" t="s">
        <v>1054</v>
      </c>
    </row>
    <row r="101" spans="1:8" ht="13.15" customHeight="1" x14ac:dyDescent="0.25">
      <c r="A101" s="330" t="s">
        <v>1055</v>
      </c>
      <c r="B101" s="8" t="s">
        <v>1056</v>
      </c>
      <c r="C101" s="14" t="s">
        <v>650</v>
      </c>
      <c r="D101" s="331">
        <v>141</v>
      </c>
      <c r="E101" s="14" t="s">
        <v>651</v>
      </c>
      <c r="F101" s="8" t="s">
        <v>1057</v>
      </c>
      <c r="G101" s="8" t="s">
        <v>1058</v>
      </c>
      <c r="H101" s="332" t="s">
        <v>1059</v>
      </c>
    </row>
    <row r="102" spans="1:8" x14ac:dyDescent="0.25">
      <c r="A102" s="330" t="s">
        <v>1060</v>
      </c>
      <c r="B102" s="8" t="s">
        <v>1061</v>
      </c>
      <c r="C102" s="14" t="s">
        <v>650</v>
      </c>
      <c r="D102" s="333">
        <v>142</v>
      </c>
      <c r="E102" s="14" t="s">
        <v>21</v>
      </c>
      <c r="F102" s="8" t="s">
        <v>1062</v>
      </c>
      <c r="G102" s="8" t="s">
        <v>1063</v>
      </c>
      <c r="H102" s="332" t="s">
        <v>1064</v>
      </c>
    </row>
    <row r="103" spans="1:8" ht="13.15" customHeight="1" x14ac:dyDescent="0.25">
      <c r="A103" s="330" t="s">
        <v>1065</v>
      </c>
      <c r="B103" s="8" t="s">
        <v>1066</v>
      </c>
      <c r="C103" s="14" t="s">
        <v>650</v>
      </c>
      <c r="D103" s="333">
        <v>143</v>
      </c>
      <c r="E103" s="14" t="s">
        <v>21</v>
      </c>
      <c r="F103" s="8" t="s">
        <v>1067</v>
      </c>
      <c r="G103" s="8" t="s">
        <v>1068</v>
      </c>
      <c r="H103" s="332" t="s">
        <v>1064</v>
      </c>
    </row>
    <row r="104" spans="1:8" ht="13.15" customHeight="1" x14ac:dyDescent="0.25">
      <c r="A104" s="330" t="s">
        <v>1069</v>
      </c>
      <c r="B104" s="8" t="s">
        <v>1066</v>
      </c>
      <c r="C104" s="14" t="s">
        <v>650</v>
      </c>
      <c r="D104" s="333">
        <v>144</v>
      </c>
      <c r="E104" s="14" t="s">
        <v>711</v>
      </c>
      <c r="F104" s="8" t="s">
        <v>1070</v>
      </c>
      <c r="G104" s="8" t="s">
        <v>1071</v>
      </c>
      <c r="H104" s="332" t="s">
        <v>1064</v>
      </c>
    </row>
    <row r="105" spans="1:8" ht="13.15" customHeight="1" x14ac:dyDescent="0.25">
      <c r="A105" s="330" t="s">
        <v>1072</v>
      </c>
      <c r="B105" s="8" t="s">
        <v>1066</v>
      </c>
      <c r="C105" s="14" t="s">
        <v>650</v>
      </c>
      <c r="D105" s="333">
        <v>145</v>
      </c>
      <c r="E105" s="14" t="s">
        <v>1073</v>
      </c>
      <c r="F105" s="8" t="s">
        <v>1074</v>
      </c>
      <c r="G105" s="8" t="s">
        <v>1075</v>
      </c>
      <c r="H105" s="332" t="s">
        <v>1064</v>
      </c>
    </row>
    <row r="106" spans="1:8" ht="13.15" customHeight="1" x14ac:dyDescent="0.25">
      <c r="A106" s="330" t="s">
        <v>1076</v>
      </c>
      <c r="B106" s="8" t="s">
        <v>1051</v>
      </c>
      <c r="C106" s="14" t="s">
        <v>650</v>
      </c>
      <c r="D106" s="333">
        <v>146</v>
      </c>
      <c r="E106" s="14" t="s">
        <v>742</v>
      </c>
      <c r="F106" s="8" t="s">
        <v>1077</v>
      </c>
      <c r="G106" s="8" t="s">
        <v>1078</v>
      </c>
      <c r="H106" s="332" t="s">
        <v>1079</v>
      </c>
    </row>
    <row r="107" spans="1:8" ht="13.15" customHeight="1" x14ac:dyDescent="0.25">
      <c r="A107" s="330" t="s">
        <v>1080</v>
      </c>
      <c r="B107" s="8" t="s">
        <v>1081</v>
      </c>
      <c r="C107" s="14" t="s">
        <v>650</v>
      </c>
      <c r="D107" s="331">
        <v>147</v>
      </c>
      <c r="E107" s="14" t="s">
        <v>651</v>
      </c>
      <c r="F107" s="8" t="s">
        <v>1082</v>
      </c>
      <c r="G107" s="8" t="s">
        <v>1083</v>
      </c>
      <c r="H107" s="332" t="s">
        <v>1079</v>
      </c>
    </row>
    <row r="108" spans="1:8" ht="13.15" customHeight="1" x14ac:dyDescent="0.25">
      <c r="A108" s="330" t="s">
        <v>1084</v>
      </c>
      <c r="B108" s="8" t="s">
        <v>1085</v>
      </c>
      <c r="C108" s="14" t="s">
        <v>650</v>
      </c>
      <c r="D108" s="331">
        <v>148</v>
      </c>
      <c r="E108" s="14" t="s">
        <v>651</v>
      </c>
      <c r="F108" s="8" t="s">
        <v>1086</v>
      </c>
      <c r="G108" s="8" t="s">
        <v>1087</v>
      </c>
      <c r="H108" s="332" t="s">
        <v>1088</v>
      </c>
    </row>
    <row r="109" spans="1:8" ht="13.15" customHeight="1" x14ac:dyDescent="0.25">
      <c r="A109" s="330" t="s">
        <v>1089</v>
      </c>
      <c r="B109" s="8" t="s">
        <v>1056</v>
      </c>
      <c r="C109" s="14" t="s">
        <v>650</v>
      </c>
      <c r="D109" s="333">
        <v>149</v>
      </c>
      <c r="E109" s="14" t="s">
        <v>21</v>
      </c>
      <c r="F109" s="8" t="s">
        <v>1090</v>
      </c>
      <c r="G109" s="8" t="s">
        <v>1091</v>
      </c>
      <c r="H109" s="332" t="s">
        <v>1092</v>
      </c>
    </row>
    <row r="110" spans="1:8" ht="13.15" customHeight="1" x14ac:dyDescent="0.25">
      <c r="A110" s="330" t="s">
        <v>1093</v>
      </c>
      <c r="B110" s="8" t="s">
        <v>1094</v>
      </c>
      <c r="C110" s="14" t="s">
        <v>691</v>
      </c>
      <c r="D110" s="334">
        <v>150</v>
      </c>
      <c r="E110" s="14" t="s">
        <v>1095</v>
      </c>
      <c r="F110" s="41" t="s">
        <v>1096</v>
      </c>
      <c r="G110" s="8" t="s">
        <v>1097</v>
      </c>
      <c r="H110" s="332" t="s">
        <v>1098</v>
      </c>
    </row>
    <row r="111" spans="1:8" ht="13.15" customHeight="1" x14ac:dyDescent="0.25">
      <c r="A111" s="330" t="s">
        <v>1099</v>
      </c>
      <c r="B111" s="8" t="s">
        <v>1094</v>
      </c>
      <c r="C111" s="14" t="s">
        <v>691</v>
      </c>
      <c r="D111" s="334">
        <v>151</v>
      </c>
      <c r="E111" s="14" t="s">
        <v>742</v>
      </c>
      <c r="F111" s="41" t="s">
        <v>1100</v>
      </c>
      <c r="G111" s="8" t="s">
        <v>1101</v>
      </c>
      <c r="H111" s="332" t="s">
        <v>1102</v>
      </c>
    </row>
    <row r="112" spans="1:8" ht="13.15" customHeight="1" x14ac:dyDescent="0.25">
      <c r="A112" s="330" t="s">
        <v>1103</v>
      </c>
      <c r="B112" s="8" t="s">
        <v>1085</v>
      </c>
      <c r="C112" s="14" t="s">
        <v>650</v>
      </c>
      <c r="D112" s="333">
        <v>152</v>
      </c>
      <c r="E112" s="14" t="s">
        <v>21</v>
      </c>
      <c r="F112" s="8" t="s">
        <v>1104</v>
      </c>
      <c r="G112" s="8" t="s">
        <v>1105</v>
      </c>
      <c r="H112" s="332" t="s">
        <v>1106</v>
      </c>
    </row>
    <row r="113" spans="1:8" ht="13.15" customHeight="1" x14ac:dyDescent="0.25">
      <c r="A113" s="330" t="s">
        <v>1107</v>
      </c>
      <c r="B113" s="8" t="s">
        <v>1085</v>
      </c>
      <c r="C113" s="14" t="s">
        <v>650</v>
      </c>
      <c r="D113" s="333">
        <v>153</v>
      </c>
      <c r="E113" s="14" t="s">
        <v>21</v>
      </c>
      <c r="F113" s="8" t="s">
        <v>1108</v>
      </c>
      <c r="G113" s="8" t="s">
        <v>1109</v>
      </c>
      <c r="H113" s="332" t="s">
        <v>1110</v>
      </c>
    </row>
    <row r="114" spans="1:8" ht="13.15" customHeight="1" x14ac:dyDescent="0.25">
      <c r="A114" s="330" t="s">
        <v>1111</v>
      </c>
      <c r="B114" s="8" t="s">
        <v>1085</v>
      </c>
      <c r="C114" s="14" t="s">
        <v>650</v>
      </c>
      <c r="D114" s="333">
        <v>154</v>
      </c>
      <c r="E114" s="14" t="s">
        <v>21</v>
      </c>
      <c r="F114" s="8" t="s">
        <v>1112</v>
      </c>
      <c r="G114" s="8" t="s">
        <v>1113</v>
      </c>
      <c r="H114" s="332" t="s">
        <v>1110</v>
      </c>
    </row>
    <row r="115" spans="1:8" ht="13.15" customHeight="1" x14ac:dyDescent="0.25">
      <c r="A115" s="330" t="s">
        <v>1114</v>
      </c>
      <c r="B115" s="8" t="s">
        <v>1115</v>
      </c>
      <c r="C115" s="14" t="s">
        <v>755</v>
      </c>
      <c r="D115" s="335">
        <v>155</v>
      </c>
      <c r="E115" s="14" t="s">
        <v>742</v>
      </c>
      <c r="F115" s="8" t="s">
        <v>1116</v>
      </c>
      <c r="G115" s="8" t="s">
        <v>1117</v>
      </c>
      <c r="H115" s="332" t="s">
        <v>1118</v>
      </c>
    </row>
    <row r="116" spans="1:8" ht="13.15" customHeight="1" x14ac:dyDescent="0.25">
      <c r="A116" s="330" t="s">
        <v>1119</v>
      </c>
      <c r="B116" s="8" t="s">
        <v>1115</v>
      </c>
      <c r="C116" s="14" t="s">
        <v>755</v>
      </c>
      <c r="D116" s="333">
        <v>156</v>
      </c>
      <c r="E116" s="14" t="s">
        <v>21</v>
      </c>
      <c r="F116" s="8" t="s">
        <v>1120</v>
      </c>
      <c r="G116" s="8" t="s">
        <v>1121</v>
      </c>
      <c r="H116" s="332" t="s">
        <v>1122</v>
      </c>
    </row>
    <row r="117" spans="1:8" x14ac:dyDescent="0.25">
      <c r="A117" s="330" t="s">
        <v>1123</v>
      </c>
      <c r="B117" s="8" t="s">
        <v>1066</v>
      </c>
      <c r="C117" s="14" t="s">
        <v>650</v>
      </c>
      <c r="D117" s="333">
        <v>158</v>
      </c>
      <c r="E117" s="14" t="s">
        <v>711</v>
      </c>
      <c r="F117" s="8" t="s">
        <v>1124</v>
      </c>
      <c r="G117" s="8" t="s">
        <v>1125</v>
      </c>
      <c r="H117" s="332" t="s">
        <v>1126</v>
      </c>
    </row>
    <row r="118" spans="1:8" ht="13.15" customHeight="1" x14ac:dyDescent="0.25">
      <c r="A118" s="330" t="s">
        <v>1127</v>
      </c>
      <c r="B118" s="8" t="s">
        <v>1066</v>
      </c>
      <c r="C118" s="14" t="s">
        <v>650</v>
      </c>
      <c r="D118" s="333">
        <v>159</v>
      </c>
      <c r="E118" s="14" t="s">
        <v>21</v>
      </c>
      <c r="F118" s="8" t="s">
        <v>1128</v>
      </c>
      <c r="G118" s="8" t="s">
        <v>1129</v>
      </c>
      <c r="H118" s="332" t="s">
        <v>1126</v>
      </c>
    </row>
    <row r="119" spans="1:8" ht="13.15" customHeight="1" x14ac:dyDescent="0.25">
      <c r="A119" s="330" t="s">
        <v>1130</v>
      </c>
      <c r="B119" s="8" t="s">
        <v>1066</v>
      </c>
      <c r="C119" s="14" t="s">
        <v>650</v>
      </c>
      <c r="D119" s="333">
        <v>160</v>
      </c>
      <c r="E119" s="14" t="s">
        <v>21</v>
      </c>
      <c r="F119" s="8" t="s">
        <v>1131</v>
      </c>
      <c r="G119" s="8" t="s">
        <v>1132</v>
      </c>
      <c r="H119" s="332" t="s">
        <v>1126</v>
      </c>
    </row>
    <row r="120" spans="1:8" ht="13.15" customHeight="1" x14ac:dyDescent="0.25">
      <c r="A120" s="330" t="s">
        <v>1133</v>
      </c>
      <c r="B120" s="8" t="s">
        <v>1066</v>
      </c>
      <c r="C120" s="14" t="s">
        <v>650</v>
      </c>
      <c r="D120" s="333">
        <v>161</v>
      </c>
      <c r="E120" s="14" t="s">
        <v>21</v>
      </c>
      <c r="F120" s="8" t="s">
        <v>1134</v>
      </c>
      <c r="G120" s="8" t="s">
        <v>1135</v>
      </c>
      <c r="H120" s="332" t="s">
        <v>1136</v>
      </c>
    </row>
    <row r="121" spans="1:8" x14ac:dyDescent="0.25">
      <c r="A121" s="330" t="s">
        <v>1137</v>
      </c>
      <c r="B121" s="8" t="s">
        <v>1066</v>
      </c>
      <c r="C121" s="14" t="s">
        <v>650</v>
      </c>
      <c r="D121" s="333">
        <v>162</v>
      </c>
      <c r="E121" s="14" t="s">
        <v>21</v>
      </c>
      <c r="F121" s="8" t="s">
        <v>1138</v>
      </c>
      <c r="G121" s="8" t="s">
        <v>1139</v>
      </c>
      <c r="H121" s="332" t="s">
        <v>1126</v>
      </c>
    </row>
    <row r="122" spans="1:8" ht="13.15" customHeight="1" x14ac:dyDescent="0.25">
      <c r="A122" s="330" t="s">
        <v>1140</v>
      </c>
      <c r="B122" s="8" t="s">
        <v>1141</v>
      </c>
      <c r="C122" s="14" t="s">
        <v>1029</v>
      </c>
      <c r="D122" s="333">
        <v>163</v>
      </c>
      <c r="E122" s="14" t="s">
        <v>669</v>
      </c>
      <c r="F122" s="8" t="s">
        <v>1142</v>
      </c>
      <c r="G122" s="8" t="s">
        <v>1143</v>
      </c>
      <c r="H122" s="332" t="s">
        <v>1144</v>
      </c>
    </row>
    <row r="123" spans="1:8" x14ac:dyDescent="0.25">
      <c r="A123" s="330" t="s">
        <v>1145</v>
      </c>
      <c r="B123" s="8" t="s">
        <v>1141</v>
      </c>
      <c r="C123" s="14" t="s">
        <v>1029</v>
      </c>
      <c r="D123" s="333">
        <v>164</v>
      </c>
      <c r="E123" s="14" t="s">
        <v>669</v>
      </c>
      <c r="F123" s="8" t="s">
        <v>1146</v>
      </c>
      <c r="G123" s="8" t="s">
        <v>1147</v>
      </c>
      <c r="H123" s="332" t="s">
        <v>1144</v>
      </c>
    </row>
    <row r="124" spans="1:8" ht="13.15" customHeight="1" x14ac:dyDescent="0.25">
      <c r="A124" s="330" t="s">
        <v>1148</v>
      </c>
      <c r="B124" s="8" t="s">
        <v>1085</v>
      </c>
      <c r="C124" s="14" t="s">
        <v>650</v>
      </c>
      <c r="D124" s="331">
        <v>165</v>
      </c>
      <c r="E124" s="14" t="s">
        <v>651</v>
      </c>
      <c r="F124" s="8" t="s">
        <v>1149</v>
      </c>
      <c r="G124" s="8" t="s">
        <v>1150</v>
      </c>
      <c r="H124" s="332" t="s">
        <v>1151</v>
      </c>
    </row>
    <row r="125" spans="1:8" ht="13.15" customHeight="1" x14ac:dyDescent="0.25">
      <c r="A125" s="330" t="s">
        <v>1152</v>
      </c>
      <c r="B125" s="8" t="s">
        <v>1085</v>
      </c>
      <c r="C125" s="14" t="s">
        <v>650</v>
      </c>
      <c r="D125" s="331">
        <v>166</v>
      </c>
      <c r="E125" s="14" t="s">
        <v>651</v>
      </c>
      <c r="F125" s="8" t="s">
        <v>1153</v>
      </c>
      <c r="G125" s="8" t="s">
        <v>1154</v>
      </c>
      <c r="H125" s="332" t="s">
        <v>1151</v>
      </c>
    </row>
    <row r="126" spans="1:8" ht="13.15" customHeight="1" x14ac:dyDescent="0.25">
      <c r="A126" s="330" t="s">
        <v>1155</v>
      </c>
      <c r="B126" s="8" t="s">
        <v>1085</v>
      </c>
      <c r="C126" s="14" t="s">
        <v>650</v>
      </c>
      <c r="D126" s="331">
        <v>167</v>
      </c>
      <c r="E126" s="14" t="s">
        <v>651</v>
      </c>
      <c r="F126" s="8" t="s">
        <v>1156</v>
      </c>
      <c r="G126" s="8" t="s">
        <v>1157</v>
      </c>
      <c r="H126" s="332" t="s">
        <v>1158</v>
      </c>
    </row>
    <row r="127" spans="1:8" ht="13.15" customHeight="1" x14ac:dyDescent="0.25">
      <c r="A127" s="330" t="s">
        <v>1159</v>
      </c>
      <c r="B127" s="8" t="s">
        <v>1160</v>
      </c>
      <c r="C127" s="14" t="s">
        <v>706</v>
      </c>
      <c r="D127" s="333">
        <v>168</v>
      </c>
      <c r="E127" s="14" t="s">
        <v>21</v>
      </c>
      <c r="F127" s="8" t="s">
        <v>1161</v>
      </c>
      <c r="G127" s="8" t="s">
        <v>1162</v>
      </c>
      <c r="H127" s="332" t="s">
        <v>1163</v>
      </c>
    </row>
    <row r="128" spans="1:8" ht="13.15" customHeight="1" x14ac:dyDescent="0.25">
      <c r="A128" s="330" t="s">
        <v>1164</v>
      </c>
      <c r="B128" s="8" t="s">
        <v>1165</v>
      </c>
      <c r="C128" s="14" t="s">
        <v>755</v>
      </c>
      <c r="D128" s="333">
        <v>169</v>
      </c>
      <c r="E128" s="14" t="s">
        <v>711</v>
      </c>
      <c r="F128" s="8" t="s">
        <v>1166</v>
      </c>
      <c r="G128" s="8" t="s">
        <v>1167</v>
      </c>
      <c r="H128" s="332" t="s">
        <v>1163</v>
      </c>
    </row>
    <row r="129" spans="1:8" ht="13.15" customHeight="1" x14ac:dyDescent="0.25">
      <c r="A129" s="330" t="s">
        <v>1168</v>
      </c>
      <c r="B129" s="8" t="s">
        <v>1165</v>
      </c>
      <c r="C129" s="14" t="s">
        <v>755</v>
      </c>
      <c r="D129" s="333">
        <v>170</v>
      </c>
      <c r="E129" s="14" t="s">
        <v>711</v>
      </c>
      <c r="F129" s="8" t="s">
        <v>1169</v>
      </c>
      <c r="G129" s="8" t="s">
        <v>1170</v>
      </c>
      <c r="H129" s="332" t="s">
        <v>1163</v>
      </c>
    </row>
    <row r="130" spans="1:8" ht="13.15" customHeight="1" x14ac:dyDescent="0.25">
      <c r="A130" s="330"/>
      <c r="B130" s="8" t="s">
        <v>37</v>
      </c>
      <c r="C130" s="14" t="s">
        <v>668</v>
      </c>
      <c r="D130" s="334">
        <v>171</v>
      </c>
      <c r="E130" s="14" t="s">
        <v>20</v>
      </c>
      <c r="F130" s="8"/>
      <c r="G130" s="8"/>
      <c r="H130" s="332"/>
    </row>
    <row r="131" spans="1:8" ht="13.15" customHeight="1" x14ac:dyDescent="0.25">
      <c r="A131" s="330" t="s">
        <v>1171</v>
      </c>
      <c r="B131" s="8" t="s">
        <v>1172</v>
      </c>
      <c r="C131" s="14" t="s">
        <v>668</v>
      </c>
      <c r="D131" s="334">
        <v>172</v>
      </c>
      <c r="E131" s="14" t="s">
        <v>20</v>
      </c>
      <c r="F131" s="8"/>
      <c r="G131" s="8" t="s">
        <v>1173</v>
      </c>
      <c r="H131" s="332" t="s">
        <v>1174</v>
      </c>
    </row>
    <row r="132" spans="1:8" x14ac:dyDescent="0.25">
      <c r="A132" s="330" t="s">
        <v>1175</v>
      </c>
      <c r="B132" s="8" t="s">
        <v>1176</v>
      </c>
      <c r="C132" s="14" t="s">
        <v>706</v>
      </c>
      <c r="D132" s="333">
        <v>202</v>
      </c>
      <c r="E132" s="14" t="s">
        <v>21</v>
      </c>
      <c r="F132" s="8" t="s">
        <v>1177</v>
      </c>
      <c r="G132" s="8" t="s">
        <v>1178</v>
      </c>
      <c r="H132" s="332" t="s">
        <v>1179</v>
      </c>
    </row>
    <row r="133" spans="1:8" ht="13.15" customHeight="1" x14ac:dyDescent="0.25">
      <c r="A133" s="330" t="s">
        <v>1180</v>
      </c>
      <c r="B133" s="8" t="s">
        <v>1181</v>
      </c>
      <c r="C133" s="14" t="s">
        <v>706</v>
      </c>
      <c r="D133" s="331">
        <v>203</v>
      </c>
      <c r="E133" s="14" t="s">
        <v>651</v>
      </c>
      <c r="F133" s="8" t="s">
        <v>1182</v>
      </c>
      <c r="G133" s="8" t="s">
        <v>1183</v>
      </c>
      <c r="H133" s="332" t="s">
        <v>1184</v>
      </c>
    </row>
    <row r="134" spans="1:8" ht="13.15" customHeight="1" x14ac:dyDescent="0.25">
      <c r="A134" s="330" t="s">
        <v>1185</v>
      </c>
      <c r="B134" s="8" t="s">
        <v>1186</v>
      </c>
      <c r="C134" s="14" t="s">
        <v>1029</v>
      </c>
      <c r="D134" s="331">
        <v>207</v>
      </c>
      <c r="E134" s="14" t="s">
        <v>651</v>
      </c>
      <c r="F134" s="8" t="s">
        <v>1187</v>
      </c>
      <c r="G134" s="8" t="s">
        <v>1188</v>
      </c>
      <c r="H134" s="332" t="s">
        <v>1189</v>
      </c>
    </row>
    <row r="135" spans="1:8" ht="13.15" customHeight="1" x14ac:dyDescent="0.25">
      <c r="A135" s="330" t="s">
        <v>1190</v>
      </c>
      <c r="B135" s="8" t="s">
        <v>806</v>
      </c>
      <c r="C135" s="14" t="s">
        <v>650</v>
      </c>
      <c r="D135" s="331">
        <v>208</v>
      </c>
      <c r="E135" s="14" t="s">
        <v>651</v>
      </c>
      <c r="F135" s="8" t="s">
        <v>1191</v>
      </c>
      <c r="G135" s="8" t="s">
        <v>1192</v>
      </c>
      <c r="H135" s="332" t="s">
        <v>1193</v>
      </c>
    </row>
    <row r="136" spans="1:8" ht="13.15" customHeight="1" x14ac:dyDescent="0.25">
      <c r="A136" s="330" t="s">
        <v>1194</v>
      </c>
      <c r="B136" s="8" t="s">
        <v>1195</v>
      </c>
      <c r="C136" s="14" t="s">
        <v>1029</v>
      </c>
      <c r="D136" s="331">
        <v>209</v>
      </c>
      <c r="E136" s="14" t="s">
        <v>651</v>
      </c>
      <c r="F136" s="8" t="s">
        <v>1196</v>
      </c>
      <c r="G136" s="8" t="s">
        <v>1197</v>
      </c>
      <c r="H136" s="332" t="s">
        <v>1198</v>
      </c>
    </row>
    <row r="137" spans="1:8" ht="13.15" customHeight="1" x14ac:dyDescent="0.25">
      <c r="A137" s="330" t="s">
        <v>1199</v>
      </c>
      <c r="B137" s="8" t="s">
        <v>1200</v>
      </c>
      <c r="C137" s="14" t="s">
        <v>650</v>
      </c>
      <c r="D137" s="331">
        <v>210</v>
      </c>
      <c r="E137" s="14" t="s">
        <v>651</v>
      </c>
      <c r="F137" s="41" t="s">
        <v>1201</v>
      </c>
      <c r="G137" s="8" t="s">
        <v>1202</v>
      </c>
      <c r="H137" s="332" t="s">
        <v>1203</v>
      </c>
    </row>
    <row r="138" spans="1:8" ht="13.15" customHeight="1" x14ac:dyDescent="0.25">
      <c r="A138" s="330" t="s">
        <v>1204</v>
      </c>
      <c r="B138" s="8" t="s">
        <v>1205</v>
      </c>
      <c r="C138" s="14" t="s">
        <v>918</v>
      </c>
      <c r="D138" s="331">
        <v>211</v>
      </c>
      <c r="E138" s="14" t="s">
        <v>651</v>
      </c>
      <c r="F138" s="8"/>
      <c r="G138" s="8"/>
      <c r="H138" s="332"/>
    </row>
    <row r="139" spans="1:8" ht="13.15" customHeight="1" x14ac:dyDescent="0.25">
      <c r="A139" s="330" t="s">
        <v>1206</v>
      </c>
      <c r="B139" s="8" t="s">
        <v>1207</v>
      </c>
      <c r="C139" s="14" t="s">
        <v>1029</v>
      </c>
      <c r="D139" s="331">
        <v>215</v>
      </c>
      <c r="E139" s="14" t="s">
        <v>651</v>
      </c>
      <c r="F139" s="8" t="s">
        <v>1208</v>
      </c>
      <c r="G139" s="8" t="s">
        <v>1209</v>
      </c>
      <c r="H139" s="332" t="s">
        <v>1210</v>
      </c>
    </row>
    <row r="140" spans="1:8" ht="13.15" customHeight="1" x14ac:dyDescent="0.25">
      <c r="A140" s="330" t="s">
        <v>1211</v>
      </c>
      <c r="B140" s="8" t="s">
        <v>716</v>
      </c>
      <c r="C140" s="14" t="s">
        <v>650</v>
      </c>
      <c r="D140" s="331">
        <v>217</v>
      </c>
      <c r="E140" s="14" t="s">
        <v>651</v>
      </c>
      <c r="F140" s="8" t="s">
        <v>1212</v>
      </c>
      <c r="G140" s="8" t="s">
        <v>1213</v>
      </c>
      <c r="H140" s="332" t="s">
        <v>1214</v>
      </c>
    </row>
    <row r="141" spans="1:8" ht="13.15" customHeight="1" x14ac:dyDescent="0.25">
      <c r="A141" s="330" t="s">
        <v>1215</v>
      </c>
      <c r="B141" s="8" t="s">
        <v>1216</v>
      </c>
      <c r="C141" s="14" t="s">
        <v>706</v>
      </c>
      <c r="D141" s="331">
        <v>218</v>
      </c>
      <c r="E141" s="14" t="s">
        <v>651</v>
      </c>
      <c r="F141" s="41" t="s">
        <v>1217</v>
      </c>
      <c r="G141" s="8" t="s">
        <v>1218</v>
      </c>
      <c r="H141" s="332" t="s">
        <v>1219</v>
      </c>
    </row>
    <row r="142" spans="1:8" ht="13.15" customHeight="1" x14ac:dyDescent="0.25">
      <c r="A142" s="330" t="s">
        <v>1220</v>
      </c>
      <c r="B142" s="8" t="s">
        <v>1085</v>
      </c>
      <c r="C142" s="14" t="s">
        <v>650</v>
      </c>
      <c r="D142" s="331">
        <v>220</v>
      </c>
      <c r="E142" s="14" t="s">
        <v>651</v>
      </c>
      <c r="F142" s="8" t="s">
        <v>1221</v>
      </c>
      <c r="G142" s="8" t="s">
        <v>1222</v>
      </c>
      <c r="H142" s="332" t="s">
        <v>1223</v>
      </c>
    </row>
    <row r="143" spans="1:8" ht="13.15" customHeight="1" x14ac:dyDescent="0.25">
      <c r="A143" s="330" t="s">
        <v>1224</v>
      </c>
      <c r="B143" s="8" t="s">
        <v>884</v>
      </c>
      <c r="C143" s="14" t="s">
        <v>668</v>
      </c>
      <c r="D143" s="331">
        <v>251</v>
      </c>
      <c r="E143" s="14" t="s">
        <v>651</v>
      </c>
      <c r="F143" s="8"/>
      <c r="G143" s="8" t="s">
        <v>1225</v>
      </c>
      <c r="H143" s="332" t="s">
        <v>1226</v>
      </c>
    </row>
    <row r="144" spans="1:8" ht="13.15" customHeight="1" x14ac:dyDescent="0.25">
      <c r="A144" s="330" t="s">
        <v>1227</v>
      </c>
      <c r="B144" s="8" t="s">
        <v>667</v>
      </c>
      <c r="C144" s="14" t="s">
        <v>668</v>
      </c>
      <c r="D144" s="331">
        <v>252</v>
      </c>
      <c r="E144" s="14" t="s">
        <v>651</v>
      </c>
      <c r="F144" s="8"/>
      <c r="G144" s="8" t="s">
        <v>1228</v>
      </c>
      <c r="H144" s="332" t="s">
        <v>1229</v>
      </c>
    </row>
    <row r="145" spans="1:8" ht="13.15" customHeight="1" x14ac:dyDescent="0.25">
      <c r="A145" s="330" t="s">
        <v>1230</v>
      </c>
      <c r="B145" s="8" t="s">
        <v>1231</v>
      </c>
      <c r="C145" s="14" t="s">
        <v>650</v>
      </c>
      <c r="D145" s="333">
        <v>253</v>
      </c>
      <c r="E145" s="14" t="s">
        <v>21</v>
      </c>
      <c r="F145" s="8" t="s">
        <v>1232</v>
      </c>
      <c r="G145" s="8" t="s">
        <v>1233</v>
      </c>
      <c r="H145" s="332" t="s">
        <v>1234</v>
      </c>
    </row>
    <row r="146" spans="1:8" ht="13.15" customHeight="1" x14ac:dyDescent="0.25">
      <c r="A146" s="330" t="s">
        <v>1235</v>
      </c>
      <c r="B146" s="8" t="s">
        <v>1231</v>
      </c>
      <c r="C146" s="14" t="s">
        <v>650</v>
      </c>
      <c r="D146" s="333">
        <v>254</v>
      </c>
      <c r="E146" s="14" t="s">
        <v>21</v>
      </c>
      <c r="F146" s="8" t="s">
        <v>1236</v>
      </c>
      <c r="G146" s="8" t="s">
        <v>1237</v>
      </c>
      <c r="H146" s="332" t="s">
        <v>1234</v>
      </c>
    </row>
    <row r="147" spans="1:8" ht="13.9" customHeight="1" x14ac:dyDescent="0.25">
      <c r="A147" s="330" t="s">
        <v>1238</v>
      </c>
      <c r="B147" s="8" t="s">
        <v>1239</v>
      </c>
      <c r="C147" s="14" t="s">
        <v>650</v>
      </c>
      <c r="D147" s="333">
        <v>255</v>
      </c>
      <c r="E147" s="14" t="s">
        <v>662</v>
      </c>
      <c r="F147" s="8" t="s">
        <v>1240</v>
      </c>
      <c r="G147" s="8" t="s">
        <v>1241</v>
      </c>
      <c r="H147" s="332" t="s">
        <v>1234</v>
      </c>
    </row>
    <row r="148" spans="1:8" ht="13.15" customHeight="1" x14ac:dyDescent="0.25">
      <c r="A148" s="330" t="s">
        <v>1242</v>
      </c>
      <c r="B148" s="8" t="s">
        <v>1231</v>
      </c>
      <c r="C148" s="14" t="s">
        <v>650</v>
      </c>
      <c r="D148" s="333">
        <v>256</v>
      </c>
      <c r="E148" s="14" t="s">
        <v>711</v>
      </c>
      <c r="F148" s="8" t="s">
        <v>1243</v>
      </c>
      <c r="G148" s="8" t="s">
        <v>1244</v>
      </c>
      <c r="H148" s="332" t="s">
        <v>1234</v>
      </c>
    </row>
    <row r="149" spans="1:8" ht="13.15" customHeight="1" x14ac:dyDescent="0.25">
      <c r="A149" s="330" t="s">
        <v>1245</v>
      </c>
      <c r="B149" s="8" t="s">
        <v>1231</v>
      </c>
      <c r="C149" s="14" t="s">
        <v>650</v>
      </c>
      <c r="D149" s="333">
        <v>257</v>
      </c>
      <c r="E149" s="14" t="s">
        <v>21</v>
      </c>
      <c r="F149" s="8" t="s">
        <v>1246</v>
      </c>
      <c r="G149" s="8" t="s">
        <v>1247</v>
      </c>
      <c r="H149" s="332" t="s">
        <v>1234</v>
      </c>
    </row>
    <row r="150" spans="1:8" x14ac:dyDescent="0.25">
      <c r="A150" s="330" t="s">
        <v>1248</v>
      </c>
      <c r="B150" s="8" t="s">
        <v>1249</v>
      </c>
      <c r="C150" s="14" t="s">
        <v>1029</v>
      </c>
      <c r="D150" s="333">
        <v>258</v>
      </c>
      <c r="E150" s="14" t="s">
        <v>669</v>
      </c>
      <c r="F150" s="8" t="s">
        <v>1250</v>
      </c>
      <c r="G150" s="8" t="s">
        <v>1251</v>
      </c>
      <c r="H150" s="332" t="s">
        <v>1234</v>
      </c>
    </row>
    <row r="151" spans="1:8" x14ac:dyDescent="0.25">
      <c r="A151" s="330" t="s">
        <v>1252</v>
      </c>
      <c r="B151" s="8" t="s">
        <v>1249</v>
      </c>
      <c r="C151" s="14" t="s">
        <v>1029</v>
      </c>
      <c r="D151" s="335">
        <v>259</v>
      </c>
      <c r="E151" s="14" t="s">
        <v>669</v>
      </c>
      <c r="F151" s="8" t="s">
        <v>1253</v>
      </c>
      <c r="G151" s="8" t="s">
        <v>1254</v>
      </c>
      <c r="H151" s="332" t="s">
        <v>1234</v>
      </c>
    </row>
    <row r="152" spans="1:8" ht="13.15" customHeight="1" x14ac:dyDescent="0.25">
      <c r="A152" s="330" t="s">
        <v>1255</v>
      </c>
      <c r="B152" s="8" t="s">
        <v>1256</v>
      </c>
      <c r="C152" s="14" t="s">
        <v>650</v>
      </c>
      <c r="D152" s="333">
        <v>260</v>
      </c>
      <c r="E152" s="14" t="s">
        <v>20</v>
      </c>
      <c r="F152" s="8" t="s">
        <v>1257</v>
      </c>
      <c r="G152" s="8" t="s">
        <v>1258</v>
      </c>
      <c r="H152" s="332" t="s">
        <v>1259</v>
      </c>
    </row>
    <row r="153" spans="1:8" ht="13.15" customHeight="1" x14ac:dyDescent="0.25">
      <c r="A153" s="330" t="s">
        <v>1260</v>
      </c>
      <c r="B153" s="8" t="s">
        <v>1256</v>
      </c>
      <c r="C153" s="14" t="s">
        <v>650</v>
      </c>
      <c r="D153" s="333">
        <v>261</v>
      </c>
      <c r="E153" s="14" t="s">
        <v>20</v>
      </c>
      <c r="F153" s="8" t="s">
        <v>1261</v>
      </c>
      <c r="G153" s="8" t="s">
        <v>1262</v>
      </c>
      <c r="H153" s="332" t="s">
        <v>1259</v>
      </c>
    </row>
    <row r="154" spans="1:8" ht="13.15" customHeight="1" x14ac:dyDescent="0.25">
      <c r="A154" s="330" t="s">
        <v>1263</v>
      </c>
      <c r="B154" s="8" t="s">
        <v>1256</v>
      </c>
      <c r="C154" s="14" t="s">
        <v>650</v>
      </c>
      <c r="D154" s="333">
        <v>262</v>
      </c>
      <c r="E154" s="14" t="s">
        <v>20</v>
      </c>
      <c r="F154" s="8" t="s">
        <v>1264</v>
      </c>
      <c r="G154" s="8" t="s">
        <v>1265</v>
      </c>
      <c r="H154" s="332" t="s">
        <v>1259</v>
      </c>
    </row>
    <row r="155" spans="1:8" ht="13.15" customHeight="1" x14ac:dyDescent="0.25">
      <c r="A155" s="330" t="s">
        <v>1266</v>
      </c>
      <c r="B155" s="8" t="s">
        <v>1256</v>
      </c>
      <c r="C155" s="14" t="s">
        <v>650</v>
      </c>
      <c r="D155" s="333">
        <v>263</v>
      </c>
      <c r="E155" s="14" t="s">
        <v>20</v>
      </c>
      <c r="F155" s="8" t="s">
        <v>1267</v>
      </c>
      <c r="G155" s="8" t="s">
        <v>1268</v>
      </c>
      <c r="H155" s="332" t="s">
        <v>1259</v>
      </c>
    </row>
    <row r="156" spans="1:8" ht="13.15" customHeight="1" x14ac:dyDescent="0.25">
      <c r="A156" s="330" t="s">
        <v>1269</v>
      </c>
      <c r="B156" s="8" t="s">
        <v>64</v>
      </c>
      <c r="C156" s="14" t="s">
        <v>918</v>
      </c>
      <c r="D156" s="334">
        <v>264</v>
      </c>
      <c r="E156" s="14" t="s">
        <v>21</v>
      </c>
      <c r="F156" s="8"/>
      <c r="G156" s="8"/>
      <c r="H156" s="332"/>
    </row>
    <row r="157" spans="1:8" ht="13.15" customHeight="1" x14ac:dyDescent="0.25">
      <c r="A157" s="330" t="s">
        <v>1270</v>
      </c>
      <c r="B157" s="8" t="s">
        <v>64</v>
      </c>
      <c r="C157" s="14" t="s">
        <v>918</v>
      </c>
      <c r="D157" s="334">
        <v>265</v>
      </c>
      <c r="E157" s="14" t="s">
        <v>21</v>
      </c>
      <c r="F157" s="8"/>
      <c r="G157" s="8"/>
      <c r="H157" s="332"/>
    </row>
    <row r="158" spans="1:8" ht="13.15" customHeight="1" x14ac:dyDescent="0.25">
      <c r="A158" s="330" t="s">
        <v>1271</v>
      </c>
      <c r="B158" s="8" t="s">
        <v>64</v>
      </c>
      <c r="C158" s="14" t="s">
        <v>918</v>
      </c>
      <c r="D158" s="334">
        <v>266</v>
      </c>
      <c r="E158" s="14" t="s">
        <v>21</v>
      </c>
      <c r="F158" s="8"/>
      <c r="G158" s="8"/>
      <c r="H158" s="332"/>
    </row>
    <row r="159" spans="1:8" ht="13.15" customHeight="1" x14ac:dyDescent="0.25">
      <c r="A159" s="330" t="s">
        <v>1272</v>
      </c>
      <c r="B159" s="8" t="s">
        <v>64</v>
      </c>
      <c r="C159" s="14" t="s">
        <v>918</v>
      </c>
      <c r="D159" s="334">
        <v>267</v>
      </c>
      <c r="E159" s="14" t="s">
        <v>21</v>
      </c>
      <c r="F159" s="8"/>
      <c r="G159" s="8"/>
      <c r="H159" s="332"/>
    </row>
    <row r="160" spans="1:8" ht="13.15" customHeight="1" x14ac:dyDescent="0.25">
      <c r="A160" s="330" t="s">
        <v>1273</v>
      </c>
      <c r="B160" s="8" t="s">
        <v>1274</v>
      </c>
      <c r="C160" s="14" t="s">
        <v>706</v>
      </c>
      <c r="D160" s="337">
        <v>310</v>
      </c>
      <c r="E160" s="14" t="s">
        <v>1275</v>
      </c>
      <c r="F160" s="8" t="s">
        <v>1276</v>
      </c>
      <c r="G160" s="8" t="s">
        <v>1277</v>
      </c>
      <c r="H160" s="332" t="s">
        <v>1278</v>
      </c>
    </row>
    <row r="161" spans="1:8" ht="13.15" customHeight="1" x14ac:dyDescent="0.25">
      <c r="A161" s="330" t="s">
        <v>1279</v>
      </c>
      <c r="B161" s="8" t="s">
        <v>1280</v>
      </c>
      <c r="C161" s="14" t="s">
        <v>650</v>
      </c>
      <c r="D161" s="337">
        <v>311</v>
      </c>
      <c r="E161" s="14" t="s">
        <v>1275</v>
      </c>
      <c r="F161" s="8" t="s">
        <v>1281</v>
      </c>
      <c r="G161" s="8" t="s">
        <v>1282</v>
      </c>
      <c r="H161" s="332" t="s">
        <v>1283</v>
      </c>
    </row>
    <row r="162" spans="1:8" ht="13.15" customHeight="1" x14ac:dyDescent="0.25">
      <c r="A162" s="330" t="s">
        <v>1284</v>
      </c>
      <c r="B162" s="8" t="s">
        <v>1285</v>
      </c>
      <c r="C162" s="14" t="s">
        <v>650</v>
      </c>
      <c r="D162" s="331">
        <v>313</v>
      </c>
      <c r="E162" s="14" t="s">
        <v>651</v>
      </c>
      <c r="F162" s="8" t="s">
        <v>1286</v>
      </c>
      <c r="G162" s="8" t="s">
        <v>1287</v>
      </c>
      <c r="H162" s="332" t="s">
        <v>818</v>
      </c>
    </row>
    <row r="163" spans="1:8" ht="13.15" customHeight="1" x14ac:dyDescent="0.25">
      <c r="A163" s="330" t="s">
        <v>1288</v>
      </c>
      <c r="B163" s="8" t="s">
        <v>1066</v>
      </c>
      <c r="C163" s="14" t="s">
        <v>650</v>
      </c>
      <c r="D163" s="337">
        <v>314</v>
      </c>
      <c r="E163" s="14" t="s">
        <v>1275</v>
      </c>
      <c r="F163" s="41" t="s">
        <v>1289</v>
      </c>
      <c r="G163" s="8" t="s">
        <v>1290</v>
      </c>
      <c r="H163" s="332" t="s">
        <v>1291</v>
      </c>
    </row>
    <row r="164" spans="1:8" ht="13.9" customHeight="1" x14ac:dyDescent="0.25">
      <c r="A164" s="330" t="s">
        <v>1292</v>
      </c>
      <c r="B164" s="8" t="s">
        <v>1066</v>
      </c>
      <c r="C164" s="14" t="s">
        <v>650</v>
      </c>
      <c r="D164" s="337">
        <v>315</v>
      </c>
      <c r="E164" s="14" t="s">
        <v>1275</v>
      </c>
      <c r="F164" s="41" t="s">
        <v>1293</v>
      </c>
      <c r="G164" s="8" t="s">
        <v>1294</v>
      </c>
      <c r="H164" s="332" t="s">
        <v>1295</v>
      </c>
    </row>
    <row r="165" spans="1:8" ht="13.15" customHeight="1" x14ac:dyDescent="0.25">
      <c r="A165" s="330" t="s">
        <v>1296</v>
      </c>
      <c r="B165" s="8" t="s">
        <v>880</v>
      </c>
      <c r="C165" s="14" t="s">
        <v>668</v>
      </c>
      <c r="D165" s="331">
        <v>316</v>
      </c>
      <c r="E165" s="14" t="s">
        <v>651</v>
      </c>
      <c r="F165" s="41" t="s">
        <v>1297</v>
      </c>
      <c r="G165" s="8" t="s">
        <v>1298</v>
      </c>
      <c r="H165" s="332" t="s">
        <v>1299</v>
      </c>
    </row>
    <row r="166" spans="1:8" ht="13.15" customHeight="1" x14ac:dyDescent="0.25">
      <c r="A166" s="330" t="s">
        <v>1300</v>
      </c>
      <c r="B166" s="8" t="s">
        <v>1301</v>
      </c>
      <c r="C166" s="14" t="s">
        <v>668</v>
      </c>
      <c r="D166" s="337">
        <v>317</v>
      </c>
      <c r="E166" s="14" t="s">
        <v>1275</v>
      </c>
      <c r="F166" s="8"/>
      <c r="G166" s="8" t="s">
        <v>1302</v>
      </c>
      <c r="H166" s="332" t="s">
        <v>1303</v>
      </c>
    </row>
    <row r="167" spans="1:8" ht="13.15" customHeight="1" x14ac:dyDescent="0.25">
      <c r="A167" s="330" t="s">
        <v>1304</v>
      </c>
      <c r="B167" s="8" t="s">
        <v>1305</v>
      </c>
      <c r="C167" s="14" t="s">
        <v>706</v>
      </c>
      <c r="D167" s="337">
        <v>318</v>
      </c>
      <c r="E167" s="14" t="s">
        <v>1275</v>
      </c>
      <c r="F167" s="41" t="s">
        <v>1306</v>
      </c>
      <c r="G167" s="8" t="s">
        <v>1307</v>
      </c>
      <c r="H167" s="332" t="s">
        <v>1308</v>
      </c>
    </row>
    <row r="168" spans="1:8" ht="13.15" customHeight="1" x14ac:dyDescent="0.25">
      <c r="A168" s="330" t="s">
        <v>1309</v>
      </c>
      <c r="B168" s="8" t="s">
        <v>1310</v>
      </c>
      <c r="C168" s="14" t="s">
        <v>650</v>
      </c>
      <c r="D168" s="331">
        <v>319</v>
      </c>
      <c r="E168" s="14" t="s">
        <v>651</v>
      </c>
      <c r="F168" s="8">
        <v>62779</v>
      </c>
      <c r="G168" s="8">
        <v>733964</v>
      </c>
      <c r="H168" s="332" t="s">
        <v>1311</v>
      </c>
    </row>
    <row r="169" spans="1:8" ht="13.15" customHeight="1" x14ac:dyDescent="0.25">
      <c r="A169" s="330" t="s">
        <v>1312</v>
      </c>
      <c r="B169" s="8" t="s">
        <v>1207</v>
      </c>
      <c r="C169" s="14" t="s">
        <v>1029</v>
      </c>
      <c r="D169" s="337">
        <v>320</v>
      </c>
      <c r="E169" s="14" t="s">
        <v>1275</v>
      </c>
      <c r="F169" s="8" t="s">
        <v>1313</v>
      </c>
      <c r="G169" s="8" t="s">
        <v>1314</v>
      </c>
      <c r="H169" s="332" t="s">
        <v>1315</v>
      </c>
    </row>
    <row r="170" spans="1:8" ht="13.15" customHeight="1" x14ac:dyDescent="0.25">
      <c r="A170" s="330" t="s">
        <v>1316</v>
      </c>
      <c r="B170" s="8" t="s">
        <v>16</v>
      </c>
      <c r="C170" s="14" t="s">
        <v>668</v>
      </c>
      <c r="D170" s="337">
        <v>321</v>
      </c>
      <c r="E170" s="14" t="s">
        <v>1275</v>
      </c>
      <c r="F170" s="8"/>
      <c r="G170" s="41" t="s">
        <v>1317</v>
      </c>
      <c r="H170" s="332" t="s">
        <v>1318</v>
      </c>
    </row>
    <row r="171" spans="1:8" ht="13.15" customHeight="1" x14ac:dyDescent="0.25">
      <c r="A171" s="330" t="s">
        <v>1319</v>
      </c>
      <c r="B171" s="8" t="s">
        <v>16</v>
      </c>
      <c r="C171" s="14" t="s">
        <v>668</v>
      </c>
      <c r="D171" s="337">
        <v>322</v>
      </c>
      <c r="E171" s="14" t="s">
        <v>1275</v>
      </c>
      <c r="F171" s="8"/>
      <c r="G171" s="41" t="s">
        <v>1320</v>
      </c>
      <c r="H171" s="332" t="s">
        <v>1321</v>
      </c>
    </row>
    <row r="172" spans="1:8" ht="13.15" customHeight="1" x14ac:dyDescent="0.25">
      <c r="A172" s="330" t="s">
        <v>1322</v>
      </c>
      <c r="B172" s="8" t="s">
        <v>1280</v>
      </c>
      <c r="C172" s="14" t="s">
        <v>650</v>
      </c>
      <c r="D172" s="337">
        <v>323</v>
      </c>
      <c r="E172" s="14" t="s">
        <v>1275</v>
      </c>
      <c r="F172" s="8" t="s">
        <v>1323</v>
      </c>
      <c r="G172" s="8" t="s">
        <v>1324</v>
      </c>
      <c r="H172" s="332" t="s">
        <v>1325</v>
      </c>
    </row>
    <row r="173" spans="1:8" ht="13.15" customHeight="1" x14ac:dyDescent="0.25">
      <c r="A173" s="330" t="s">
        <v>1326</v>
      </c>
      <c r="B173" s="8" t="s">
        <v>1327</v>
      </c>
      <c r="C173" s="14" t="s">
        <v>668</v>
      </c>
      <c r="D173" s="337">
        <v>324</v>
      </c>
      <c r="E173" s="14" t="s">
        <v>1275</v>
      </c>
      <c r="F173" s="8"/>
      <c r="G173" s="8" t="s">
        <v>1328</v>
      </c>
      <c r="H173" s="332" t="s">
        <v>1329</v>
      </c>
    </row>
    <row r="174" spans="1:8" ht="13.15" customHeight="1" x14ac:dyDescent="0.25">
      <c r="A174" s="330" t="s">
        <v>1330</v>
      </c>
      <c r="B174" s="8" t="s">
        <v>1331</v>
      </c>
      <c r="C174" s="14" t="s">
        <v>650</v>
      </c>
      <c r="D174" s="331">
        <v>325</v>
      </c>
      <c r="E174" s="14" t="s">
        <v>651</v>
      </c>
      <c r="F174" s="8" t="s">
        <v>1332</v>
      </c>
      <c r="G174" s="8" t="s">
        <v>1333</v>
      </c>
      <c r="H174" s="332" t="s">
        <v>1203</v>
      </c>
    </row>
    <row r="175" spans="1:8" ht="13.15" customHeight="1" x14ac:dyDescent="0.25">
      <c r="A175" s="330" t="s">
        <v>1334</v>
      </c>
      <c r="B175" s="8" t="s">
        <v>1335</v>
      </c>
      <c r="C175" s="14" t="s">
        <v>706</v>
      </c>
      <c r="D175" s="334">
        <v>328</v>
      </c>
      <c r="E175" s="14" t="s">
        <v>1095</v>
      </c>
      <c r="F175" s="8"/>
      <c r="G175" s="8"/>
      <c r="H175" s="332"/>
    </row>
    <row r="176" spans="1:8" ht="13.15" customHeight="1" x14ac:dyDescent="0.25">
      <c r="A176" s="330" t="s">
        <v>550</v>
      </c>
      <c r="B176" s="8" t="s">
        <v>1336</v>
      </c>
      <c r="C176" s="14" t="s">
        <v>209</v>
      </c>
      <c r="D176" s="334">
        <v>329</v>
      </c>
      <c r="E176" s="14" t="s">
        <v>1337</v>
      </c>
      <c r="F176" s="41" t="s">
        <v>1338</v>
      </c>
      <c r="G176" s="8" t="s">
        <v>1339</v>
      </c>
      <c r="H176" s="332" t="s">
        <v>1340</v>
      </c>
    </row>
    <row r="177" spans="1:8" ht="13.15" customHeight="1" x14ac:dyDescent="0.25">
      <c r="A177" s="330" t="s">
        <v>1341</v>
      </c>
      <c r="B177" s="8" t="s">
        <v>1342</v>
      </c>
      <c r="C177" s="14" t="s">
        <v>650</v>
      </c>
      <c r="D177" s="331">
        <v>400</v>
      </c>
      <c r="E177" s="14" t="s">
        <v>651</v>
      </c>
      <c r="F177" s="8" t="s">
        <v>1343</v>
      </c>
      <c r="G177" s="8" t="s">
        <v>1344</v>
      </c>
      <c r="H177" s="332" t="s">
        <v>1345</v>
      </c>
    </row>
    <row r="178" spans="1:8" ht="13.15" customHeight="1" x14ac:dyDescent="0.25">
      <c r="A178" s="330" t="s">
        <v>1346</v>
      </c>
      <c r="B178" s="8" t="s">
        <v>1347</v>
      </c>
      <c r="C178" s="14" t="s">
        <v>691</v>
      </c>
      <c r="D178" s="331">
        <v>401</v>
      </c>
      <c r="E178" s="14" t="s">
        <v>651</v>
      </c>
      <c r="F178" s="41" t="s">
        <v>1348</v>
      </c>
      <c r="G178" s="41" t="s">
        <v>1349</v>
      </c>
      <c r="H178" s="332" t="s">
        <v>1350</v>
      </c>
    </row>
    <row r="179" spans="1:8" ht="13.9" customHeight="1" x14ac:dyDescent="0.25">
      <c r="A179" s="330" t="s">
        <v>1351</v>
      </c>
      <c r="B179" s="8" t="s">
        <v>1347</v>
      </c>
      <c r="C179" s="14" t="s">
        <v>691</v>
      </c>
      <c r="D179" s="331">
        <v>402</v>
      </c>
      <c r="E179" s="14" t="s">
        <v>651</v>
      </c>
      <c r="F179" s="8" t="s">
        <v>1352</v>
      </c>
      <c r="G179" s="8" t="s">
        <v>1353</v>
      </c>
      <c r="H179" s="332" t="s">
        <v>1315</v>
      </c>
    </row>
    <row r="180" spans="1:8" ht="13.15" customHeight="1" x14ac:dyDescent="0.25">
      <c r="A180" s="330" t="s">
        <v>1354</v>
      </c>
      <c r="B180" s="8" t="s">
        <v>1003</v>
      </c>
      <c r="C180" s="14" t="s">
        <v>650</v>
      </c>
      <c r="D180" s="331">
        <v>403</v>
      </c>
      <c r="E180" s="14" t="s">
        <v>651</v>
      </c>
      <c r="F180" s="8" t="s">
        <v>1355</v>
      </c>
      <c r="G180" s="8" t="s">
        <v>1356</v>
      </c>
      <c r="H180" s="332" t="s">
        <v>1357</v>
      </c>
    </row>
    <row r="181" spans="1:8" ht="13.15" customHeight="1" x14ac:dyDescent="0.25">
      <c r="A181" s="330" t="s">
        <v>1358</v>
      </c>
      <c r="B181" s="8" t="s">
        <v>811</v>
      </c>
      <c r="C181" s="14" t="s">
        <v>650</v>
      </c>
      <c r="D181" s="331">
        <v>404</v>
      </c>
      <c r="E181" s="14" t="s">
        <v>651</v>
      </c>
      <c r="F181" s="8" t="s">
        <v>1359</v>
      </c>
      <c r="G181" s="8" t="s">
        <v>1360</v>
      </c>
      <c r="H181" s="332" t="s">
        <v>1361</v>
      </c>
    </row>
    <row r="182" spans="1:8" ht="13.15" customHeight="1" x14ac:dyDescent="0.25">
      <c r="A182" s="330" t="s">
        <v>1362</v>
      </c>
      <c r="B182" s="8" t="s">
        <v>667</v>
      </c>
      <c r="C182" s="14" t="s">
        <v>668</v>
      </c>
      <c r="D182" s="334">
        <v>405</v>
      </c>
      <c r="E182" s="14" t="s">
        <v>742</v>
      </c>
      <c r="F182" s="8"/>
      <c r="G182" s="8" t="s">
        <v>1363</v>
      </c>
      <c r="H182" s="332" t="s">
        <v>1364</v>
      </c>
    </row>
    <row r="183" spans="1:8" ht="13.15" customHeight="1" x14ac:dyDescent="0.25">
      <c r="A183" s="330" t="s">
        <v>1365</v>
      </c>
      <c r="B183" s="8" t="s">
        <v>1366</v>
      </c>
      <c r="C183" s="14" t="s">
        <v>650</v>
      </c>
      <c r="D183" s="331">
        <v>406</v>
      </c>
      <c r="E183" s="14" t="s">
        <v>651</v>
      </c>
      <c r="F183" s="8" t="s">
        <v>1367</v>
      </c>
      <c r="G183" s="8" t="s">
        <v>1368</v>
      </c>
      <c r="H183" s="332" t="s">
        <v>1369</v>
      </c>
    </row>
    <row r="184" spans="1:8" ht="13.9" customHeight="1" x14ac:dyDescent="0.25">
      <c r="A184" s="330" t="s">
        <v>1370</v>
      </c>
      <c r="B184" s="8" t="s">
        <v>1371</v>
      </c>
      <c r="C184" s="14" t="s">
        <v>1029</v>
      </c>
      <c r="D184" s="331">
        <v>407</v>
      </c>
      <c r="E184" s="14" t="s">
        <v>651</v>
      </c>
      <c r="F184" s="8" t="s">
        <v>1372</v>
      </c>
      <c r="G184" s="8" t="s">
        <v>1373</v>
      </c>
      <c r="H184" s="332" t="s">
        <v>1203</v>
      </c>
    </row>
    <row r="185" spans="1:8" ht="13.15" customHeight="1" x14ac:dyDescent="0.25">
      <c r="A185" s="330" t="s">
        <v>1374</v>
      </c>
      <c r="B185" s="8" t="s">
        <v>1094</v>
      </c>
      <c r="C185" s="14" t="s">
        <v>691</v>
      </c>
      <c r="D185" s="334">
        <v>408</v>
      </c>
      <c r="E185" s="14" t="s">
        <v>742</v>
      </c>
      <c r="F185" s="41" t="s">
        <v>1375</v>
      </c>
      <c r="G185" s="8" t="s">
        <v>1376</v>
      </c>
      <c r="H185" s="332" t="s">
        <v>1377</v>
      </c>
    </row>
    <row r="186" spans="1:8" ht="13.15" customHeight="1" x14ac:dyDescent="0.25">
      <c r="A186" s="330" t="s">
        <v>1378</v>
      </c>
      <c r="B186" s="8" t="s">
        <v>1379</v>
      </c>
      <c r="C186" s="14" t="s">
        <v>650</v>
      </c>
      <c r="D186" s="331">
        <v>409</v>
      </c>
      <c r="E186" s="14" t="s">
        <v>651</v>
      </c>
      <c r="F186" s="8" t="s">
        <v>1380</v>
      </c>
      <c r="G186" s="8" t="s">
        <v>1381</v>
      </c>
      <c r="H186" s="332" t="s">
        <v>1210</v>
      </c>
    </row>
    <row r="187" spans="1:8" ht="13.9" customHeight="1" x14ac:dyDescent="0.25">
      <c r="A187" s="330" t="s">
        <v>1382</v>
      </c>
      <c r="B187" s="8" t="s">
        <v>1383</v>
      </c>
      <c r="C187" s="14" t="s">
        <v>918</v>
      </c>
      <c r="D187" s="331">
        <v>410</v>
      </c>
      <c r="E187" s="14" t="s">
        <v>651</v>
      </c>
      <c r="F187" s="8"/>
      <c r="G187" s="8" t="s">
        <v>1384</v>
      </c>
      <c r="H187" s="332" t="s">
        <v>1385</v>
      </c>
    </row>
    <row r="188" spans="1:8" x14ac:dyDescent="0.25">
      <c r="A188" s="330" t="s">
        <v>95</v>
      </c>
      <c r="B188" s="8" t="s">
        <v>1386</v>
      </c>
      <c r="C188" s="338" t="s">
        <v>706</v>
      </c>
      <c r="D188" s="334">
        <v>411</v>
      </c>
      <c r="E188" s="336" t="s">
        <v>256</v>
      </c>
      <c r="F188" s="8" t="s">
        <v>1387</v>
      </c>
      <c r="G188" s="8" t="s">
        <v>1388</v>
      </c>
      <c r="H188" s="332" t="s">
        <v>1389</v>
      </c>
    </row>
    <row r="189" spans="1:8" x14ac:dyDescent="0.25">
      <c r="A189" s="330" t="s">
        <v>96</v>
      </c>
      <c r="B189" s="8" t="s">
        <v>1386</v>
      </c>
      <c r="C189" s="338" t="s">
        <v>706</v>
      </c>
      <c r="D189" s="334">
        <v>412</v>
      </c>
      <c r="E189" s="336" t="s">
        <v>256</v>
      </c>
      <c r="F189" s="8" t="s">
        <v>1390</v>
      </c>
      <c r="G189" s="8" t="s">
        <v>1391</v>
      </c>
      <c r="H189" s="332" t="s">
        <v>1392</v>
      </c>
    </row>
    <row r="190" spans="1:8" x14ac:dyDescent="0.25">
      <c r="A190" s="330" t="s">
        <v>97</v>
      </c>
      <c r="B190" s="8" t="s">
        <v>1386</v>
      </c>
      <c r="C190" s="338" t="s">
        <v>706</v>
      </c>
      <c r="D190" s="334">
        <v>413</v>
      </c>
      <c r="E190" s="336" t="s">
        <v>256</v>
      </c>
      <c r="F190" s="8" t="s">
        <v>1393</v>
      </c>
      <c r="G190" s="8" t="s">
        <v>1394</v>
      </c>
      <c r="H190" s="332" t="s">
        <v>1392</v>
      </c>
    </row>
    <row r="191" spans="1:8" x14ac:dyDescent="0.25">
      <c r="A191" s="330" t="s">
        <v>98</v>
      </c>
      <c r="B191" s="8" t="s">
        <v>1386</v>
      </c>
      <c r="C191" s="338" t="s">
        <v>706</v>
      </c>
      <c r="D191" s="334">
        <v>414</v>
      </c>
      <c r="E191" s="336" t="s">
        <v>256</v>
      </c>
      <c r="F191" s="8" t="s">
        <v>1395</v>
      </c>
      <c r="G191" s="8" t="s">
        <v>1396</v>
      </c>
      <c r="H191" s="332" t="s">
        <v>1397</v>
      </c>
    </row>
    <row r="192" spans="1:8" x14ac:dyDescent="0.25">
      <c r="A192" s="330" t="s">
        <v>99</v>
      </c>
      <c r="B192" s="8" t="s">
        <v>1386</v>
      </c>
      <c r="C192" s="338" t="s">
        <v>706</v>
      </c>
      <c r="D192" s="334">
        <v>415</v>
      </c>
      <c r="E192" s="336" t="s">
        <v>256</v>
      </c>
      <c r="F192" s="8" t="s">
        <v>1398</v>
      </c>
      <c r="G192" s="8" t="s">
        <v>1399</v>
      </c>
      <c r="H192" s="332" t="s">
        <v>1400</v>
      </c>
    </row>
    <row r="193" spans="1:8" x14ac:dyDescent="0.25">
      <c r="A193" s="330" t="s">
        <v>100</v>
      </c>
      <c r="B193" s="8" t="s">
        <v>1386</v>
      </c>
      <c r="C193" s="338" t="s">
        <v>706</v>
      </c>
      <c r="D193" s="334">
        <v>416</v>
      </c>
      <c r="E193" s="336" t="s">
        <v>256</v>
      </c>
      <c r="F193" s="8" t="s">
        <v>1401</v>
      </c>
      <c r="G193" s="8" t="s">
        <v>1402</v>
      </c>
      <c r="H193" s="332" t="s">
        <v>1400</v>
      </c>
    </row>
    <row r="194" spans="1:8" x14ac:dyDescent="0.25">
      <c r="A194" s="506" t="s">
        <v>1480</v>
      </c>
      <c r="B194" s="8" t="s">
        <v>1403</v>
      </c>
      <c r="C194" s="338" t="s">
        <v>706</v>
      </c>
      <c r="D194" s="334">
        <v>417</v>
      </c>
      <c r="E194" s="14"/>
      <c r="F194" s="8" t="s">
        <v>1404</v>
      </c>
      <c r="G194" s="8" t="s">
        <v>1405</v>
      </c>
      <c r="H194" s="332" t="s">
        <v>1406</v>
      </c>
    </row>
    <row r="195" spans="1:8" x14ac:dyDescent="0.25">
      <c r="A195" s="330" t="s">
        <v>1407</v>
      </c>
      <c r="B195" s="8" t="s">
        <v>1408</v>
      </c>
      <c r="C195" s="338" t="s">
        <v>706</v>
      </c>
      <c r="D195" s="334">
        <v>418</v>
      </c>
      <c r="E195" s="336" t="s">
        <v>256</v>
      </c>
      <c r="F195" s="8" t="s">
        <v>1409</v>
      </c>
      <c r="G195" s="8" t="s">
        <v>1410</v>
      </c>
      <c r="H195" s="332" t="s">
        <v>1406</v>
      </c>
    </row>
    <row r="196" spans="1:8" x14ac:dyDescent="0.25">
      <c r="A196" s="506" t="s">
        <v>1411</v>
      </c>
      <c r="B196" s="8" t="s">
        <v>1403</v>
      </c>
      <c r="C196" s="338" t="s">
        <v>706</v>
      </c>
      <c r="D196" s="334">
        <v>419</v>
      </c>
      <c r="E196" s="14"/>
      <c r="F196" s="8" t="s">
        <v>1412</v>
      </c>
      <c r="G196" s="8" t="s">
        <v>1413</v>
      </c>
      <c r="H196" s="332" t="s">
        <v>1406</v>
      </c>
    </row>
    <row r="197" spans="1:8" x14ac:dyDescent="0.25">
      <c r="A197" s="330" t="s">
        <v>191</v>
      </c>
      <c r="B197" s="8" t="s">
        <v>1414</v>
      </c>
      <c r="C197" s="338" t="s">
        <v>918</v>
      </c>
      <c r="D197" s="334">
        <v>420</v>
      </c>
      <c r="E197" s="336" t="s">
        <v>39</v>
      </c>
      <c r="F197" s="8" t="s">
        <v>1415</v>
      </c>
      <c r="G197" s="8" t="s">
        <v>1416</v>
      </c>
      <c r="H197" s="332" t="s">
        <v>1417</v>
      </c>
    </row>
    <row r="198" spans="1:8" ht="11" thickBot="1" x14ac:dyDescent="0.3">
      <c r="A198" s="339" t="s">
        <v>192</v>
      </c>
      <c r="B198" s="340" t="s">
        <v>1414</v>
      </c>
      <c r="C198" s="341" t="s">
        <v>918</v>
      </c>
      <c r="D198" s="342">
        <v>421</v>
      </c>
      <c r="E198" s="343" t="s">
        <v>39</v>
      </c>
      <c r="F198" s="340" t="s">
        <v>1418</v>
      </c>
      <c r="G198" s="340" t="s">
        <v>1419</v>
      </c>
      <c r="H198" s="344" t="s">
        <v>1417</v>
      </c>
    </row>
  </sheetData>
  <autoFilter ref="A1:AN198" xr:uid="{00000000-0009-0000-0000-000009000000}"/>
  <customSheetViews>
    <customSheetView guid="{6C0BD6A7-6718-429D-82D9-D2FE0341EA2C}" scale="90" showAutoFilter="1">
      <pane ySplit="2" topLeftCell="A162" activePane="bottomLeft" state="frozen"/>
      <selection pane="bottomLeft" activeCell="B175" sqref="B175"/>
      <pageMargins left="0" right="0" top="0" bottom="0" header="0.31496062992125984" footer="0.31496062992125984"/>
      <pageSetup paperSize="9" scale="90" orientation="portrait" r:id="rId1"/>
      <autoFilter ref="A1:AN198" xr:uid="{AA044989-3D7B-4942-95BF-5D947B6ABF92}"/>
    </customSheetView>
    <customSheetView guid="{594C4AB0-8D5F-4373-9663-410F4413FE3A}" scale="90" showPageBreaks="1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2"/>
      <autoFilter ref="A1:AN198" xr:uid="{8985009D-67B3-4301-9675-A404F746BBBC}"/>
    </customSheetView>
    <customSheetView guid="{DF69299D-7752-4436-A45D-28F739CEE21B}" scale="90" showAutoFilter="1">
      <pane ySplit="2" topLeftCell="A162" activePane="bottomLeft" state="frozen"/>
      <selection pane="bottomLeft" activeCell="A69" sqref="A69"/>
      <pageMargins left="0" right="0" top="0" bottom="0" header="0.31496062992125984" footer="0.31496062992125984"/>
      <pageSetup paperSize="9" scale="90" orientation="portrait" r:id="rId3"/>
      <autoFilter ref="A1:AN198" xr:uid="{91EF9031-1595-4214-811F-C60646494407}"/>
    </customSheetView>
  </customSheetViews>
  <hyperlinks>
    <hyperlink ref="A1" location="DESCRIPTIONS!A1" display="desc" xr:uid="{00000000-0004-0000-0900-000000000000}"/>
  </hyperlinks>
  <pageMargins left="0" right="0" top="0" bottom="0" header="0.31496062992125984" footer="0.31496062992125984"/>
  <pageSetup paperSize="9" scale="90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Y115"/>
  <sheetViews>
    <sheetView topLeftCell="I1" workbookViewId="0">
      <pane ySplit="2" topLeftCell="A3" activePane="bottomLeft" state="frozen"/>
      <selection activeCell="I1" sqref="I1"/>
      <selection pane="bottomLeft" activeCell="R12" sqref="R12"/>
    </sheetView>
  </sheetViews>
  <sheetFormatPr defaultColWidth="9.1796875" defaultRowHeight="13" x14ac:dyDescent="0.3"/>
  <cols>
    <col min="1" max="1" width="11.1796875" style="185" bestFit="1" customWidth="1"/>
    <col min="2" max="2" width="6.7265625" style="185" hidden="1" customWidth="1"/>
    <col min="3" max="3" width="30.1796875" style="267" customWidth="1"/>
    <col min="4" max="4" width="7" style="278" bestFit="1" customWidth="1"/>
    <col min="5" max="5" width="11.1796875" style="185" bestFit="1" customWidth="1"/>
    <col min="6" max="6" width="13.26953125" style="185" customWidth="1"/>
    <col min="7" max="7" width="14.54296875" style="185" customWidth="1"/>
    <col min="8" max="8" width="23.81640625" style="185" customWidth="1"/>
    <col min="9" max="9" width="15.54296875" style="186" customWidth="1"/>
    <col min="10" max="10" width="27" style="186" customWidth="1"/>
    <col min="11" max="11" width="23.54296875" style="239" customWidth="1"/>
    <col min="12" max="12" width="14.54296875" style="240" customWidth="1"/>
    <col min="13" max="15" width="12.1796875" style="191" customWidth="1"/>
    <col min="16" max="16" width="13.26953125" style="191" customWidth="1"/>
    <col min="17" max="17" width="10" style="191" customWidth="1"/>
    <col min="18" max="18" width="10" style="318" customWidth="1"/>
    <col min="19" max="19" width="12.1796875" style="258" customWidth="1"/>
    <col min="20" max="20" width="20.1796875" style="191" customWidth="1"/>
    <col min="21" max="51" width="9.1796875" style="191"/>
    <col min="52" max="16384" width="9.1796875" style="185"/>
  </cols>
  <sheetData>
    <row r="1" spans="1:51" s="181" customFormat="1" x14ac:dyDescent="0.3">
      <c r="A1" s="172" t="s">
        <v>494</v>
      </c>
      <c r="B1" s="172" t="s">
        <v>240</v>
      </c>
      <c r="C1" s="260" t="s">
        <v>241</v>
      </c>
      <c r="D1" s="260" t="s">
        <v>197</v>
      </c>
      <c r="E1" s="172" t="s">
        <v>242</v>
      </c>
      <c r="F1" s="172" t="s">
        <v>243</v>
      </c>
      <c r="G1" s="172" t="s">
        <v>244</v>
      </c>
      <c r="H1" s="172"/>
      <c r="I1" s="173" t="s">
        <v>245</v>
      </c>
      <c r="J1" s="173" t="s">
        <v>246</v>
      </c>
      <c r="K1" s="174" t="s">
        <v>247</v>
      </c>
      <c r="L1" s="175" t="s">
        <v>248</v>
      </c>
      <c r="M1" s="176" t="s">
        <v>249</v>
      </c>
      <c r="N1" s="177" t="s">
        <v>250</v>
      </c>
      <c r="O1" s="178" t="s">
        <v>251</v>
      </c>
      <c r="P1" s="179" t="s">
        <v>252</v>
      </c>
      <c r="Q1" s="180" t="s">
        <v>253</v>
      </c>
      <c r="R1" s="259" t="s">
        <v>545</v>
      </c>
      <c r="S1" s="256" t="s">
        <v>541</v>
      </c>
      <c r="T1" s="180" t="s">
        <v>1437</v>
      </c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</row>
    <row r="2" spans="1:51" x14ac:dyDescent="0.3">
      <c r="A2" s="182" t="s">
        <v>285</v>
      </c>
      <c r="B2" s="182" t="s">
        <v>168</v>
      </c>
      <c r="C2" s="252" t="s">
        <v>587</v>
      </c>
      <c r="D2" s="268" t="s">
        <v>196</v>
      </c>
      <c r="E2" s="182" t="s">
        <v>254</v>
      </c>
      <c r="F2" s="183">
        <v>2931.11</v>
      </c>
      <c r="G2" s="184">
        <f>+F2*12</f>
        <v>35173.32</v>
      </c>
      <c r="H2" s="185" t="s">
        <v>258</v>
      </c>
      <c r="I2" s="186">
        <v>20000</v>
      </c>
      <c r="J2" s="186">
        <v>10774</v>
      </c>
      <c r="K2" s="187">
        <v>15000</v>
      </c>
      <c r="L2" s="246">
        <f>123023.68</f>
        <v>123023.67999999999</v>
      </c>
      <c r="M2" s="188">
        <f>+F2*12</f>
        <v>35173.32</v>
      </c>
      <c r="N2" s="189">
        <v>52842.92</v>
      </c>
      <c r="O2" s="190">
        <f>+L2*0.9/5</f>
        <v>22144.2624</v>
      </c>
      <c r="P2" s="191">
        <v>5269.45</v>
      </c>
      <c r="Q2" s="191">
        <f>239+36</f>
        <v>275</v>
      </c>
      <c r="R2" s="317" t="s">
        <v>540</v>
      </c>
      <c r="S2" s="253">
        <v>151283.22</v>
      </c>
    </row>
    <row r="3" spans="1:51" x14ac:dyDescent="0.3">
      <c r="A3" s="192" t="s">
        <v>255</v>
      </c>
      <c r="B3" s="192" t="s">
        <v>154</v>
      </c>
      <c r="C3" s="252" t="s">
        <v>588</v>
      </c>
      <c r="D3" s="269" t="s">
        <v>256</v>
      </c>
      <c r="E3" s="192" t="s">
        <v>257</v>
      </c>
      <c r="F3" s="193">
        <v>3684.87</v>
      </c>
      <c r="G3" s="193">
        <f t="shared" ref="G3:G28" si="0">+F3*12</f>
        <v>44218.44</v>
      </c>
      <c r="H3" s="194" t="s">
        <v>258</v>
      </c>
      <c r="I3" s="195">
        <v>30000</v>
      </c>
      <c r="J3" s="195">
        <v>13653</v>
      </c>
      <c r="K3" s="196">
        <v>15000</v>
      </c>
      <c r="L3" s="197">
        <v>163934.71</v>
      </c>
      <c r="M3" s="198">
        <f t="shared" ref="M3:M28" si="1">+F3*12</f>
        <v>44218.44</v>
      </c>
      <c r="N3" s="199">
        <v>11431.5</v>
      </c>
      <c r="O3" s="200">
        <f>+L3*0.9/5</f>
        <v>29508.247800000001</v>
      </c>
      <c r="P3" s="201">
        <v>5481.62</v>
      </c>
      <c r="Q3" s="191">
        <v>329</v>
      </c>
      <c r="R3" s="317" t="s">
        <v>516</v>
      </c>
      <c r="S3" s="253">
        <v>173124.44</v>
      </c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</row>
    <row r="4" spans="1:51" x14ac:dyDescent="0.3">
      <c r="A4" s="202" t="s">
        <v>259</v>
      </c>
      <c r="B4" s="202" t="s">
        <v>155</v>
      </c>
      <c r="C4" s="249" t="s">
        <v>589</v>
      </c>
      <c r="D4" s="269" t="s">
        <v>256</v>
      </c>
      <c r="E4" s="202" t="s">
        <v>260</v>
      </c>
      <c r="F4" s="203">
        <v>3596.62</v>
      </c>
      <c r="G4" s="203">
        <f t="shared" si="0"/>
        <v>43159.44</v>
      </c>
      <c r="H4" s="194" t="s">
        <v>258</v>
      </c>
      <c r="I4" s="195">
        <v>30000</v>
      </c>
      <c r="J4" s="195">
        <v>17962</v>
      </c>
      <c r="K4" s="196">
        <v>20000</v>
      </c>
      <c r="L4" s="197">
        <v>159552.98000000001</v>
      </c>
      <c r="M4" s="198">
        <f t="shared" si="1"/>
        <v>43159.44</v>
      </c>
      <c r="N4" s="199">
        <v>11248.84</v>
      </c>
      <c r="O4" s="200">
        <f t="shared" ref="O4:O28" si="2">+L4*0.9/5</f>
        <v>28719.536400000001</v>
      </c>
      <c r="P4" s="201">
        <v>5481.62</v>
      </c>
      <c r="Q4" s="191">
        <f t="shared" ref="Q4:Q28" si="3">293+36</f>
        <v>329</v>
      </c>
      <c r="R4" s="317" t="s">
        <v>517</v>
      </c>
      <c r="S4" s="253">
        <v>169141.04</v>
      </c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</row>
    <row r="5" spans="1:51" x14ac:dyDescent="0.3">
      <c r="A5" s="202" t="s">
        <v>261</v>
      </c>
      <c r="B5" s="202" t="s">
        <v>156</v>
      </c>
      <c r="C5" s="249" t="s">
        <v>589</v>
      </c>
      <c r="D5" s="270" t="s">
        <v>256</v>
      </c>
      <c r="E5" s="202" t="s">
        <v>260</v>
      </c>
      <c r="F5" s="203">
        <v>3596.62</v>
      </c>
      <c r="G5" s="203">
        <f t="shared" si="0"/>
        <v>43159.44</v>
      </c>
      <c r="H5" s="194" t="s">
        <v>258</v>
      </c>
      <c r="I5" s="195">
        <v>30000</v>
      </c>
      <c r="J5" s="195">
        <v>15653</v>
      </c>
      <c r="K5" s="196">
        <v>20000</v>
      </c>
      <c r="L5" s="197">
        <v>159552.98000000001</v>
      </c>
      <c r="M5" s="198">
        <f t="shared" si="1"/>
        <v>43159.44</v>
      </c>
      <c r="N5" s="199">
        <v>11248.84</v>
      </c>
      <c r="O5" s="200">
        <f t="shared" si="2"/>
        <v>28719.536400000001</v>
      </c>
      <c r="P5" s="201">
        <v>5481.62</v>
      </c>
      <c r="Q5" s="191">
        <f t="shared" si="3"/>
        <v>329</v>
      </c>
      <c r="R5" s="317" t="s">
        <v>518</v>
      </c>
      <c r="S5" s="253">
        <v>169141.04</v>
      </c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</row>
    <row r="6" spans="1:51" x14ac:dyDescent="0.3">
      <c r="A6" s="202" t="s">
        <v>263</v>
      </c>
      <c r="B6" s="202" t="s">
        <v>157</v>
      </c>
      <c r="C6" s="249" t="s">
        <v>589</v>
      </c>
      <c r="D6" s="270" t="s">
        <v>256</v>
      </c>
      <c r="E6" s="202" t="s">
        <v>260</v>
      </c>
      <c r="F6" s="203">
        <v>3596.62</v>
      </c>
      <c r="G6" s="203">
        <f t="shared" si="0"/>
        <v>43159.44</v>
      </c>
      <c r="H6" s="194" t="s">
        <v>258</v>
      </c>
      <c r="I6" s="195">
        <v>10000</v>
      </c>
      <c r="J6" s="195">
        <v>22564</v>
      </c>
      <c r="K6" s="196">
        <v>30000</v>
      </c>
      <c r="L6" s="197">
        <v>159552.98000000001</v>
      </c>
      <c r="M6" s="198">
        <f t="shared" si="1"/>
        <v>43159.44</v>
      </c>
      <c r="N6" s="199">
        <v>11248.84</v>
      </c>
      <c r="O6" s="200">
        <f t="shared" si="2"/>
        <v>28719.536400000001</v>
      </c>
      <c r="P6" s="201">
        <v>5481.62</v>
      </c>
      <c r="Q6" s="191">
        <f t="shared" si="3"/>
        <v>329</v>
      </c>
      <c r="R6" s="317" t="s">
        <v>519</v>
      </c>
      <c r="S6" s="253">
        <v>169141.04</v>
      </c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</row>
    <row r="7" spans="1:51" x14ac:dyDescent="0.3">
      <c r="A7" s="202" t="s">
        <v>278</v>
      </c>
      <c r="B7" s="202" t="s">
        <v>165</v>
      </c>
      <c r="C7" s="249" t="s">
        <v>589</v>
      </c>
      <c r="D7" s="269" t="s">
        <v>256</v>
      </c>
      <c r="E7" s="202" t="s">
        <v>260</v>
      </c>
      <c r="F7" s="203">
        <v>3596.62</v>
      </c>
      <c r="G7" s="203">
        <f t="shared" si="0"/>
        <v>43159.44</v>
      </c>
      <c r="H7" s="194" t="s">
        <v>258</v>
      </c>
      <c r="I7" s="195">
        <v>15000</v>
      </c>
      <c r="J7" s="195">
        <v>14521</v>
      </c>
      <c r="K7" s="196">
        <v>20000</v>
      </c>
      <c r="L7" s="197">
        <v>159552.98000000001</v>
      </c>
      <c r="M7" s="198">
        <f t="shared" si="1"/>
        <v>43159.44</v>
      </c>
      <c r="N7" s="199">
        <v>11248.84</v>
      </c>
      <c r="O7" s="200">
        <f t="shared" si="2"/>
        <v>28719.536400000001</v>
      </c>
      <c r="P7" s="201">
        <v>5481.62</v>
      </c>
      <c r="Q7" s="191">
        <f t="shared" si="3"/>
        <v>329</v>
      </c>
      <c r="R7" s="317" t="s">
        <v>520</v>
      </c>
      <c r="S7" s="253">
        <v>169141.04</v>
      </c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</row>
    <row r="8" spans="1:51" x14ac:dyDescent="0.3">
      <c r="A8" s="202" t="s">
        <v>355</v>
      </c>
      <c r="B8" s="202" t="s">
        <v>356</v>
      </c>
      <c r="C8" s="249" t="s">
        <v>589</v>
      </c>
      <c r="D8" s="269" t="s">
        <v>256</v>
      </c>
      <c r="E8" s="202" t="s">
        <v>260</v>
      </c>
      <c r="F8" s="203">
        <v>3596.62</v>
      </c>
      <c r="G8" s="203">
        <f t="shared" si="0"/>
        <v>43159.44</v>
      </c>
      <c r="H8" s="194" t="s">
        <v>258</v>
      </c>
      <c r="I8" s="195">
        <v>12000</v>
      </c>
      <c r="J8" s="195">
        <v>9812</v>
      </c>
      <c r="K8" s="196">
        <v>10000</v>
      </c>
      <c r="L8" s="197">
        <v>159552.98000000001</v>
      </c>
      <c r="M8" s="198">
        <f t="shared" si="1"/>
        <v>43159.44</v>
      </c>
      <c r="N8" s="199">
        <v>11248.84</v>
      </c>
      <c r="O8" s="200">
        <f t="shared" si="2"/>
        <v>28719.536400000001</v>
      </c>
      <c r="P8" s="201">
        <v>5481.62</v>
      </c>
      <c r="Q8" s="191">
        <f t="shared" si="3"/>
        <v>329</v>
      </c>
      <c r="R8" s="317" t="s">
        <v>521</v>
      </c>
      <c r="S8" s="253">
        <v>169141.04</v>
      </c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</row>
    <row r="9" spans="1:51" x14ac:dyDescent="0.3">
      <c r="A9" s="204" t="s">
        <v>268</v>
      </c>
      <c r="B9" s="205" t="s">
        <v>159</v>
      </c>
      <c r="C9" s="252" t="s">
        <v>590</v>
      </c>
      <c r="D9" s="271" t="s">
        <v>92</v>
      </c>
      <c r="E9" s="205" t="s">
        <v>269</v>
      </c>
      <c r="F9" s="206">
        <v>3437.09</v>
      </c>
      <c r="G9" s="206">
        <f t="shared" si="0"/>
        <v>41245.08</v>
      </c>
      <c r="H9" s="194" t="s">
        <v>258</v>
      </c>
      <c r="I9" s="195">
        <v>15000</v>
      </c>
      <c r="J9" s="195">
        <v>18162</v>
      </c>
      <c r="K9" s="196">
        <v>20000</v>
      </c>
      <c r="L9" s="197">
        <v>151632.72</v>
      </c>
      <c r="M9" s="198">
        <f t="shared" si="1"/>
        <v>41245.08</v>
      </c>
      <c r="N9" s="199">
        <v>10918.54</v>
      </c>
      <c r="O9" s="200">
        <f t="shared" si="2"/>
        <v>27293.889600000002</v>
      </c>
      <c r="P9" s="201">
        <v>5481.62</v>
      </c>
      <c r="Q9" s="191">
        <f t="shared" si="3"/>
        <v>329</v>
      </c>
      <c r="R9" s="317" t="s">
        <v>522</v>
      </c>
      <c r="S9" s="253">
        <v>161941.04</v>
      </c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</row>
    <row r="10" spans="1:51" x14ac:dyDescent="0.3">
      <c r="A10" s="204" t="s">
        <v>271</v>
      </c>
      <c r="B10" s="205" t="s">
        <v>160</v>
      </c>
      <c r="C10" s="252" t="s">
        <v>590</v>
      </c>
      <c r="D10" s="271" t="s">
        <v>92</v>
      </c>
      <c r="E10" s="205" t="s">
        <v>269</v>
      </c>
      <c r="F10" s="206">
        <v>3437.09</v>
      </c>
      <c r="G10" s="206">
        <f t="shared" si="0"/>
        <v>41245.08</v>
      </c>
      <c r="H10" s="194" t="s">
        <v>258</v>
      </c>
      <c r="I10" s="195">
        <v>15000</v>
      </c>
      <c r="J10" s="195">
        <v>26638</v>
      </c>
      <c r="K10" s="196">
        <v>30000</v>
      </c>
      <c r="L10" s="197">
        <v>151632.72</v>
      </c>
      <c r="M10" s="198">
        <f t="shared" si="1"/>
        <v>41245.08</v>
      </c>
      <c r="N10" s="199">
        <v>10918.54</v>
      </c>
      <c r="O10" s="200">
        <f t="shared" si="2"/>
        <v>27293.889600000002</v>
      </c>
      <c r="P10" s="201">
        <v>5481.62</v>
      </c>
      <c r="Q10" s="191">
        <f t="shared" si="3"/>
        <v>329</v>
      </c>
      <c r="R10" s="317" t="s">
        <v>523</v>
      </c>
      <c r="S10" s="253">
        <v>161941.04</v>
      </c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</row>
    <row r="11" spans="1:51" x14ac:dyDescent="0.3">
      <c r="A11" s="204" t="s">
        <v>272</v>
      </c>
      <c r="B11" s="205" t="s">
        <v>161</v>
      </c>
      <c r="C11" s="252" t="s">
        <v>595</v>
      </c>
      <c r="D11" s="271" t="s">
        <v>94</v>
      </c>
      <c r="E11" s="205" t="s">
        <v>269</v>
      </c>
      <c r="F11" s="206">
        <v>3437.09</v>
      </c>
      <c r="G11" s="206">
        <f t="shared" si="0"/>
        <v>41245.08</v>
      </c>
      <c r="H11" s="194" t="s">
        <v>258</v>
      </c>
      <c r="I11" s="195">
        <v>15000</v>
      </c>
      <c r="J11" s="195">
        <v>28293</v>
      </c>
      <c r="K11" s="196">
        <v>30000</v>
      </c>
      <c r="L11" s="197">
        <v>151632.72</v>
      </c>
      <c r="M11" s="198">
        <f t="shared" si="1"/>
        <v>41245.08</v>
      </c>
      <c r="N11" s="199">
        <v>10918.54</v>
      </c>
      <c r="O11" s="200">
        <f t="shared" si="2"/>
        <v>27293.889600000002</v>
      </c>
      <c r="P11" s="201">
        <v>5481.62</v>
      </c>
      <c r="Q11" s="191">
        <f t="shared" si="3"/>
        <v>329</v>
      </c>
      <c r="R11" s="317" t="s">
        <v>552</v>
      </c>
      <c r="S11" s="253">
        <v>161941.04</v>
      </c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</row>
    <row r="12" spans="1:51" x14ac:dyDescent="0.3">
      <c r="A12" s="204" t="s">
        <v>274</v>
      </c>
      <c r="B12" s="205" t="s">
        <v>162</v>
      </c>
      <c r="C12" s="252" t="s">
        <v>1451</v>
      </c>
      <c r="D12" s="270" t="s">
        <v>1452</v>
      </c>
      <c r="E12" s="205" t="s">
        <v>269</v>
      </c>
      <c r="F12" s="206">
        <v>3437.09</v>
      </c>
      <c r="G12" s="206">
        <f t="shared" si="0"/>
        <v>41245.08</v>
      </c>
      <c r="H12" s="194" t="s">
        <v>258</v>
      </c>
      <c r="I12" s="195">
        <v>15000</v>
      </c>
      <c r="J12" s="195">
        <v>24417</v>
      </c>
      <c r="K12" s="196">
        <v>30000</v>
      </c>
      <c r="L12" s="197">
        <v>151632.72</v>
      </c>
      <c r="M12" s="198">
        <f t="shared" si="1"/>
        <v>41245.08</v>
      </c>
      <c r="N12" s="199">
        <v>10918.54</v>
      </c>
      <c r="O12" s="200">
        <f t="shared" si="2"/>
        <v>27293.889600000002</v>
      </c>
      <c r="P12" s="201">
        <v>5481.62</v>
      </c>
      <c r="Q12" s="191">
        <f t="shared" si="3"/>
        <v>329</v>
      </c>
      <c r="R12" s="317" t="s">
        <v>524</v>
      </c>
      <c r="S12" s="253">
        <v>161941.04</v>
      </c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</row>
    <row r="13" spans="1:51" x14ac:dyDescent="0.3">
      <c r="A13" s="204" t="s">
        <v>276</v>
      </c>
      <c r="B13" s="205" t="s">
        <v>163</v>
      </c>
      <c r="C13" s="252" t="s">
        <v>591</v>
      </c>
      <c r="D13" s="271" t="s">
        <v>93</v>
      </c>
      <c r="E13" s="205" t="s">
        <v>269</v>
      </c>
      <c r="F13" s="206">
        <v>3437.09</v>
      </c>
      <c r="G13" s="206">
        <f t="shared" si="0"/>
        <v>41245.08</v>
      </c>
      <c r="H13" s="194" t="s">
        <v>258</v>
      </c>
      <c r="I13" s="195">
        <v>15000</v>
      </c>
      <c r="J13" s="195">
        <v>65841</v>
      </c>
      <c r="K13" s="196">
        <v>70000</v>
      </c>
      <c r="L13" s="197">
        <v>151632.72</v>
      </c>
      <c r="M13" s="198">
        <f t="shared" si="1"/>
        <v>41245.08</v>
      </c>
      <c r="N13" s="199">
        <v>10918.54</v>
      </c>
      <c r="O13" s="200">
        <f t="shared" si="2"/>
        <v>27293.889600000002</v>
      </c>
      <c r="P13" s="201">
        <v>5481.62</v>
      </c>
      <c r="Q13" s="191">
        <f t="shared" si="3"/>
        <v>329</v>
      </c>
      <c r="R13" s="317" t="s">
        <v>525</v>
      </c>
      <c r="S13" s="253">
        <v>161941.04</v>
      </c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</row>
    <row r="14" spans="1:51" x14ac:dyDescent="0.3">
      <c r="A14" s="204" t="s">
        <v>277</v>
      </c>
      <c r="B14" s="205" t="s">
        <v>164</v>
      </c>
      <c r="C14" s="252" t="s">
        <v>586</v>
      </c>
      <c r="D14" s="271" t="s">
        <v>86</v>
      </c>
      <c r="E14" s="205" t="s">
        <v>269</v>
      </c>
      <c r="F14" s="206">
        <v>3437.09</v>
      </c>
      <c r="G14" s="206">
        <f t="shared" si="0"/>
        <v>41245.08</v>
      </c>
      <c r="H14" s="194" t="s">
        <v>258</v>
      </c>
      <c r="I14" s="195">
        <v>30000</v>
      </c>
      <c r="J14" s="195">
        <v>35305</v>
      </c>
      <c r="K14" s="196">
        <v>40000</v>
      </c>
      <c r="L14" s="197">
        <v>151632.72</v>
      </c>
      <c r="M14" s="198">
        <f t="shared" si="1"/>
        <v>41245.08</v>
      </c>
      <c r="N14" s="199">
        <v>10918.54</v>
      </c>
      <c r="O14" s="200">
        <f t="shared" si="2"/>
        <v>27293.889600000002</v>
      </c>
      <c r="P14" s="201">
        <v>5481.62</v>
      </c>
      <c r="Q14" s="191">
        <f t="shared" si="3"/>
        <v>329</v>
      </c>
      <c r="R14" s="317" t="s">
        <v>526</v>
      </c>
      <c r="S14" s="253">
        <v>161941.04</v>
      </c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</row>
    <row r="15" spans="1:51" x14ac:dyDescent="0.3">
      <c r="A15" s="204" t="s">
        <v>280</v>
      </c>
      <c r="B15" s="205" t="s">
        <v>167</v>
      </c>
      <c r="C15" s="252" t="s">
        <v>593</v>
      </c>
      <c r="D15" s="271" t="s">
        <v>74</v>
      </c>
      <c r="E15" s="205" t="s">
        <v>269</v>
      </c>
      <c r="F15" s="206">
        <v>3437.09</v>
      </c>
      <c r="G15" s="206">
        <f t="shared" si="0"/>
        <v>41245.08</v>
      </c>
      <c r="H15" s="194" t="s">
        <v>258</v>
      </c>
      <c r="I15" s="195">
        <v>15000</v>
      </c>
      <c r="J15" s="195">
        <v>13109</v>
      </c>
      <c r="K15" s="196">
        <v>15000</v>
      </c>
      <c r="L15" s="197">
        <v>151632.72</v>
      </c>
      <c r="M15" s="198">
        <f t="shared" si="1"/>
        <v>41245.08</v>
      </c>
      <c r="N15" s="199">
        <v>10918.54</v>
      </c>
      <c r="O15" s="200">
        <f t="shared" si="2"/>
        <v>27293.889600000002</v>
      </c>
      <c r="P15" s="201">
        <v>5481.62</v>
      </c>
      <c r="Q15" s="191">
        <f t="shared" si="3"/>
        <v>329</v>
      </c>
      <c r="R15" s="317" t="s">
        <v>527</v>
      </c>
      <c r="S15" s="253">
        <v>161941.04</v>
      </c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</row>
    <row r="16" spans="1:51" x14ac:dyDescent="0.3">
      <c r="A16" s="204" t="s">
        <v>338</v>
      </c>
      <c r="B16" s="205" t="s">
        <v>339</v>
      </c>
      <c r="C16" s="252" t="s">
        <v>590</v>
      </c>
      <c r="D16" s="270" t="s">
        <v>92</v>
      </c>
      <c r="E16" s="205" t="s">
        <v>269</v>
      </c>
      <c r="F16" s="206">
        <v>3437.09</v>
      </c>
      <c r="G16" s="206">
        <f t="shared" si="0"/>
        <v>41245.08</v>
      </c>
      <c r="H16" s="194" t="s">
        <v>258</v>
      </c>
      <c r="I16" s="195">
        <v>230000</v>
      </c>
      <c r="J16" s="195">
        <v>5760</v>
      </c>
      <c r="K16" s="196">
        <v>10000</v>
      </c>
      <c r="L16" s="197">
        <v>151632.72</v>
      </c>
      <c r="M16" s="198">
        <f t="shared" si="1"/>
        <v>41245.08</v>
      </c>
      <c r="N16" s="199">
        <v>10918.54</v>
      </c>
      <c r="O16" s="200">
        <f t="shared" si="2"/>
        <v>27293.889600000002</v>
      </c>
      <c r="P16" s="201">
        <v>5481.62</v>
      </c>
      <c r="Q16" s="191">
        <f t="shared" si="3"/>
        <v>329</v>
      </c>
      <c r="R16" s="317" t="s">
        <v>528</v>
      </c>
      <c r="S16" s="253">
        <v>161941.04</v>
      </c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</row>
    <row r="17" spans="1:51" x14ac:dyDescent="0.3">
      <c r="A17" s="204" t="s">
        <v>340</v>
      </c>
      <c r="B17" s="205" t="s">
        <v>341</v>
      </c>
      <c r="C17" s="252" t="s">
        <v>594</v>
      </c>
      <c r="D17" s="270" t="s">
        <v>40</v>
      </c>
      <c r="E17" s="205" t="s">
        <v>269</v>
      </c>
      <c r="F17" s="206">
        <v>3437.09</v>
      </c>
      <c r="G17" s="206">
        <f t="shared" si="0"/>
        <v>41245.08</v>
      </c>
      <c r="H17" s="194" t="s">
        <v>258</v>
      </c>
      <c r="I17" s="195">
        <v>10000</v>
      </c>
      <c r="J17" s="195">
        <v>8219</v>
      </c>
      <c r="K17" s="196">
        <v>10000</v>
      </c>
      <c r="L17" s="197">
        <v>151632.72</v>
      </c>
      <c r="M17" s="198">
        <f t="shared" si="1"/>
        <v>41245.08</v>
      </c>
      <c r="N17" s="199">
        <v>10918.54</v>
      </c>
      <c r="O17" s="200">
        <f t="shared" si="2"/>
        <v>27293.889600000002</v>
      </c>
      <c r="P17" s="201">
        <v>5481.62</v>
      </c>
      <c r="Q17" s="191">
        <f t="shared" si="3"/>
        <v>329</v>
      </c>
      <c r="R17" s="317" t="s">
        <v>529</v>
      </c>
      <c r="S17" s="253">
        <v>161941.04</v>
      </c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</row>
    <row r="18" spans="1:51" x14ac:dyDescent="0.3">
      <c r="A18" s="204" t="s">
        <v>342</v>
      </c>
      <c r="B18" s="205" t="s">
        <v>343</v>
      </c>
      <c r="C18" s="252" t="s">
        <v>595</v>
      </c>
      <c r="D18" s="271" t="s">
        <v>94</v>
      </c>
      <c r="E18" s="205" t="s">
        <v>269</v>
      </c>
      <c r="F18" s="206">
        <v>3437.09</v>
      </c>
      <c r="G18" s="206">
        <f t="shared" si="0"/>
        <v>41245.08</v>
      </c>
      <c r="H18" s="194" t="s">
        <v>258</v>
      </c>
      <c r="I18" s="195">
        <v>30000</v>
      </c>
      <c r="J18" s="195">
        <v>0</v>
      </c>
      <c r="K18" s="196">
        <v>15000</v>
      </c>
      <c r="L18" s="197">
        <v>151632.72</v>
      </c>
      <c r="M18" s="198">
        <f t="shared" si="1"/>
        <v>41245.08</v>
      </c>
      <c r="N18" s="199">
        <v>10918.54</v>
      </c>
      <c r="O18" s="200">
        <f t="shared" si="2"/>
        <v>27293.889600000002</v>
      </c>
      <c r="P18" s="201">
        <v>5481.62</v>
      </c>
      <c r="Q18" s="191">
        <f t="shared" si="3"/>
        <v>329</v>
      </c>
      <c r="R18" s="317" t="s">
        <v>530</v>
      </c>
      <c r="S18" s="253">
        <v>161941.04</v>
      </c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</row>
    <row r="19" spans="1:51" x14ac:dyDescent="0.3">
      <c r="A19" s="204" t="s">
        <v>344</v>
      </c>
      <c r="B19" s="205" t="s">
        <v>345</v>
      </c>
      <c r="C19" s="252" t="s">
        <v>595</v>
      </c>
      <c r="D19" s="271" t="s">
        <v>94</v>
      </c>
      <c r="E19" s="205" t="s">
        <v>269</v>
      </c>
      <c r="F19" s="206">
        <v>3437.09</v>
      </c>
      <c r="G19" s="206">
        <f t="shared" si="0"/>
        <v>41245.08</v>
      </c>
      <c r="H19" s="194" t="s">
        <v>258</v>
      </c>
      <c r="I19" s="195">
        <v>10000</v>
      </c>
      <c r="J19" s="195">
        <v>3290</v>
      </c>
      <c r="K19" s="196">
        <v>8000</v>
      </c>
      <c r="L19" s="197">
        <v>151632.72</v>
      </c>
      <c r="M19" s="198">
        <f t="shared" si="1"/>
        <v>41245.08</v>
      </c>
      <c r="N19" s="199">
        <v>10918.54</v>
      </c>
      <c r="O19" s="200">
        <f t="shared" si="2"/>
        <v>27293.889600000002</v>
      </c>
      <c r="P19" s="201">
        <v>5481.62</v>
      </c>
      <c r="Q19" s="191">
        <f t="shared" si="3"/>
        <v>329</v>
      </c>
      <c r="R19" s="317" t="s">
        <v>531</v>
      </c>
      <c r="S19" s="253">
        <v>161941.04</v>
      </c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</row>
    <row r="20" spans="1:51" x14ac:dyDescent="0.3">
      <c r="A20" s="204" t="s">
        <v>357</v>
      </c>
      <c r="B20" s="205" t="s">
        <v>358</v>
      </c>
      <c r="C20" s="252" t="s">
        <v>596</v>
      </c>
      <c r="D20" s="269" t="s">
        <v>41</v>
      </c>
      <c r="E20" s="205" t="s">
        <v>269</v>
      </c>
      <c r="F20" s="206">
        <v>3437.09</v>
      </c>
      <c r="G20" s="206">
        <f t="shared" si="0"/>
        <v>41245.08</v>
      </c>
      <c r="H20" s="194" t="s">
        <v>258</v>
      </c>
      <c r="I20" s="195">
        <v>25000</v>
      </c>
      <c r="J20" s="195">
        <v>4818</v>
      </c>
      <c r="K20" s="196">
        <v>8000</v>
      </c>
      <c r="L20" s="197">
        <v>151632.72</v>
      </c>
      <c r="M20" s="198">
        <f t="shared" si="1"/>
        <v>41245.08</v>
      </c>
      <c r="N20" s="199">
        <v>10918.54</v>
      </c>
      <c r="O20" s="200">
        <f t="shared" si="2"/>
        <v>27293.889600000002</v>
      </c>
      <c r="P20" s="201">
        <v>5481.62</v>
      </c>
      <c r="Q20" s="191">
        <f t="shared" si="3"/>
        <v>329</v>
      </c>
      <c r="R20" s="317" t="s">
        <v>532</v>
      </c>
      <c r="S20" s="253">
        <v>161941.04</v>
      </c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</row>
    <row r="21" spans="1:51" x14ac:dyDescent="0.3">
      <c r="A21" s="204" t="s">
        <v>359</v>
      </c>
      <c r="B21" s="205" t="s">
        <v>360</v>
      </c>
      <c r="C21" s="252" t="s">
        <v>594</v>
      </c>
      <c r="D21" s="271" t="s">
        <v>40</v>
      </c>
      <c r="E21" s="205" t="s">
        <v>269</v>
      </c>
      <c r="F21" s="206">
        <v>3437.09</v>
      </c>
      <c r="G21" s="206">
        <f t="shared" si="0"/>
        <v>41245.08</v>
      </c>
      <c r="H21" s="194" t="s">
        <v>258</v>
      </c>
      <c r="I21" s="195">
        <v>15000</v>
      </c>
      <c r="J21" s="195">
        <v>26593</v>
      </c>
      <c r="K21" s="196">
        <v>30000</v>
      </c>
      <c r="L21" s="197">
        <v>151632.72</v>
      </c>
      <c r="M21" s="198">
        <f t="shared" si="1"/>
        <v>41245.08</v>
      </c>
      <c r="N21" s="199">
        <v>10918.54</v>
      </c>
      <c r="O21" s="200">
        <f t="shared" si="2"/>
        <v>27293.889600000002</v>
      </c>
      <c r="P21" s="201">
        <v>5481.62</v>
      </c>
      <c r="Q21" s="191">
        <f t="shared" si="3"/>
        <v>329</v>
      </c>
      <c r="R21" s="317" t="s">
        <v>533</v>
      </c>
      <c r="S21" s="253">
        <v>161941.04</v>
      </c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</row>
    <row r="22" spans="1:51" x14ac:dyDescent="0.3">
      <c r="A22" s="204" t="s">
        <v>361</v>
      </c>
      <c r="B22" s="205" t="s">
        <v>362</v>
      </c>
      <c r="C22" s="252" t="s">
        <v>590</v>
      </c>
      <c r="D22" s="271" t="s">
        <v>92</v>
      </c>
      <c r="E22" s="205" t="s">
        <v>269</v>
      </c>
      <c r="F22" s="206">
        <v>3437.09</v>
      </c>
      <c r="G22" s="206">
        <f t="shared" si="0"/>
        <v>41245.08</v>
      </c>
      <c r="H22" s="194" t="s">
        <v>258</v>
      </c>
      <c r="I22" s="195">
        <v>15000</v>
      </c>
      <c r="J22" s="195">
        <v>17717</v>
      </c>
      <c r="K22" s="196">
        <v>20000</v>
      </c>
      <c r="L22" s="197">
        <v>151632.72</v>
      </c>
      <c r="M22" s="198">
        <f t="shared" si="1"/>
        <v>41245.08</v>
      </c>
      <c r="N22" s="199">
        <v>10918.54</v>
      </c>
      <c r="O22" s="200">
        <f t="shared" si="2"/>
        <v>27293.889600000002</v>
      </c>
      <c r="P22" s="201">
        <v>5481.62</v>
      </c>
      <c r="Q22" s="191">
        <f t="shared" si="3"/>
        <v>329</v>
      </c>
      <c r="R22" s="317" t="s">
        <v>534</v>
      </c>
      <c r="S22" s="253">
        <v>161941.04</v>
      </c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</row>
    <row r="23" spans="1:51" x14ac:dyDescent="0.3">
      <c r="A23" s="204" t="s">
        <v>363</v>
      </c>
      <c r="B23" s="205" t="s">
        <v>364</v>
      </c>
      <c r="C23" s="252" t="s">
        <v>590</v>
      </c>
      <c r="D23" s="271" t="s">
        <v>92</v>
      </c>
      <c r="E23" s="205" t="s">
        <v>269</v>
      </c>
      <c r="F23" s="206">
        <v>3437.09</v>
      </c>
      <c r="G23" s="206">
        <f t="shared" si="0"/>
        <v>41245.08</v>
      </c>
      <c r="H23" s="194" t="s">
        <v>258</v>
      </c>
      <c r="I23" s="195">
        <v>36000</v>
      </c>
      <c r="J23" s="195">
        <v>13897</v>
      </c>
      <c r="K23" s="196">
        <v>15000</v>
      </c>
      <c r="L23" s="197">
        <v>151632.72</v>
      </c>
      <c r="M23" s="198">
        <f t="shared" si="1"/>
        <v>41245.08</v>
      </c>
      <c r="N23" s="199">
        <v>10918.54</v>
      </c>
      <c r="O23" s="200">
        <f t="shared" si="2"/>
        <v>27293.889600000002</v>
      </c>
      <c r="P23" s="201">
        <v>5481.62</v>
      </c>
      <c r="Q23" s="191">
        <f t="shared" si="3"/>
        <v>329</v>
      </c>
      <c r="R23" s="317" t="s">
        <v>535</v>
      </c>
      <c r="S23" s="253">
        <v>161941.04</v>
      </c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</row>
    <row r="24" spans="1:51" x14ac:dyDescent="0.3">
      <c r="A24" s="204" t="s">
        <v>371</v>
      </c>
      <c r="B24" s="205" t="s">
        <v>372</v>
      </c>
      <c r="C24" s="252" t="s">
        <v>590</v>
      </c>
      <c r="D24" s="271" t="s">
        <v>92</v>
      </c>
      <c r="E24" s="205" t="s">
        <v>269</v>
      </c>
      <c r="F24" s="206">
        <v>3437.09</v>
      </c>
      <c r="G24" s="206">
        <f t="shared" si="0"/>
        <v>41245.08</v>
      </c>
      <c r="H24" s="194" t="s">
        <v>258</v>
      </c>
      <c r="I24" s="195">
        <v>20000</v>
      </c>
      <c r="J24" s="195">
        <v>16072</v>
      </c>
      <c r="K24" s="196">
        <v>20000</v>
      </c>
      <c r="L24" s="197">
        <v>151632.72</v>
      </c>
      <c r="M24" s="198">
        <f t="shared" si="1"/>
        <v>41245.08</v>
      </c>
      <c r="N24" s="199">
        <v>10918.54</v>
      </c>
      <c r="O24" s="200">
        <f t="shared" si="2"/>
        <v>27293.889600000002</v>
      </c>
      <c r="P24" s="201">
        <v>5481.62</v>
      </c>
      <c r="Q24" s="191">
        <f t="shared" si="3"/>
        <v>329</v>
      </c>
      <c r="R24" s="317" t="s">
        <v>536</v>
      </c>
      <c r="S24" s="253">
        <v>161941.04</v>
      </c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</row>
    <row r="25" spans="1:51" x14ac:dyDescent="0.3">
      <c r="A25" s="204" t="s">
        <v>373</v>
      </c>
      <c r="B25" s="205" t="s">
        <v>374</v>
      </c>
      <c r="C25" s="252" t="s">
        <v>581</v>
      </c>
      <c r="D25" s="270" t="s">
        <v>149</v>
      </c>
      <c r="E25" s="205" t="s">
        <v>269</v>
      </c>
      <c r="F25" s="206">
        <v>3437.09</v>
      </c>
      <c r="G25" s="206">
        <f t="shared" si="0"/>
        <v>41245.08</v>
      </c>
      <c r="H25" s="194" t="s">
        <v>258</v>
      </c>
      <c r="I25" s="195">
        <v>20000</v>
      </c>
      <c r="J25" s="195">
        <v>3640</v>
      </c>
      <c r="K25" s="196">
        <v>8000</v>
      </c>
      <c r="L25" s="197">
        <v>151632.72</v>
      </c>
      <c r="M25" s="198">
        <f t="shared" si="1"/>
        <v>41245.08</v>
      </c>
      <c r="N25" s="199">
        <v>10918.54</v>
      </c>
      <c r="O25" s="200">
        <f t="shared" si="2"/>
        <v>27293.889600000002</v>
      </c>
      <c r="P25" s="201">
        <v>5481.62</v>
      </c>
      <c r="Q25" s="191">
        <f t="shared" si="3"/>
        <v>329</v>
      </c>
      <c r="R25" s="317" t="s">
        <v>1497</v>
      </c>
      <c r="S25" s="253">
        <v>161941.04</v>
      </c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</row>
    <row r="26" spans="1:51" x14ac:dyDescent="0.3">
      <c r="A26" s="204" t="s">
        <v>375</v>
      </c>
      <c r="B26" s="205" t="s">
        <v>376</v>
      </c>
      <c r="C26" s="252" t="s">
        <v>592</v>
      </c>
      <c r="D26" s="271" t="s">
        <v>582</v>
      </c>
      <c r="E26" s="205" t="s">
        <v>269</v>
      </c>
      <c r="F26" s="206">
        <v>3437.09</v>
      </c>
      <c r="G26" s="206">
        <f t="shared" si="0"/>
        <v>41245.08</v>
      </c>
      <c r="H26" s="194" t="s">
        <v>258</v>
      </c>
      <c r="I26" s="195">
        <v>20000</v>
      </c>
      <c r="J26" s="195">
        <v>17750</v>
      </c>
      <c r="K26" s="196">
        <v>20000</v>
      </c>
      <c r="L26" s="197">
        <v>151632.72</v>
      </c>
      <c r="M26" s="198">
        <f t="shared" si="1"/>
        <v>41245.08</v>
      </c>
      <c r="N26" s="199">
        <v>10918.54</v>
      </c>
      <c r="O26" s="200">
        <f t="shared" si="2"/>
        <v>27293.889600000002</v>
      </c>
      <c r="P26" s="201">
        <v>5481.62</v>
      </c>
      <c r="Q26" s="191">
        <f t="shared" si="3"/>
        <v>329</v>
      </c>
      <c r="R26" s="317" t="s">
        <v>537</v>
      </c>
      <c r="S26" s="253">
        <v>161941.04</v>
      </c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</row>
    <row r="27" spans="1:51" x14ac:dyDescent="0.3">
      <c r="A27" s="204" t="s">
        <v>377</v>
      </c>
      <c r="B27" s="205" t="s">
        <v>378</v>
      </c>
      <c r="C27" s="252" t="s">
        <v>593</v>
      </c>
      <c r="D27" s="271" t="s">
        <v>74</v>
      </c>
      <c r="E27" s="205" t="s">
        <v>269</v>
      </c>
      <c r="F27" s="206">
        <v>3437.09</v>
      </c>
      <c r="G27" s="206">
        <f t="shared" si="0"/>
        <v>41245.08</v>
      </c>
      <c r="H27" s="194" t="s">
        <v>258</v>
      </c>
      <c r="I27" s="195">
        <v>30000</v>
      </c>
      <c r="J27" s="195">
        <v>20481</v>
      </c>
      <c r="K27" s="196">
        <v>30000</v>
      </c>
      <c r="L27" s="197">
        <v>151632.72</v>
      </c>
      <c r="M27" s="198">
        <f t="shared" si="1"/>
        <v>41245.08</v>
      </c>
      <c r="N27" s="199">
        <v>10918.54</v>
      </c>
      <c r="O27" s="200">
        <f t="shared" si="2"/>
        <v>27293.889600000002</v>
      </c>
      <c r="P27" s="201">
        <v>5481.62</v>
      </c>
      <c r="Q27" s="191">
        <f t="shared" si="3"/>
        <v>329</v>
      </c>
      <c r="R27" s="317" t="s">
        <v>538</v>
      </c>
      <c r="S27" s="253">
        <v>161941.04</v>
      </c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</row>
    <row r="28" spans="1:51" x14ac:dyDescent="0.3">
      <c r="A28" s="204" t="s">
        <v>379</v>
      </c>
      <c r="B28" s="205" t="s">
        <v>380</v>
      </c>
      <c r="C28" s="252" t="s">
        <v>584</v>
      </c>
      <c r="D28" s="271" t="s">
        <v>87</v>
      </c>
      <c r="E28" s="205" t="s">
        <v>269</v>
      </c>
      <c r="F28" s="206">
        <v>3437.09</v>
      </c>
      <c r="G28" s="206">
        <f t="shared" si="0"/>
        <v>41245.08</v>
      </c>
      <c r="H28" s="194" t="s">
        <v>258</v>
      </c>
      <c r="I28" s="195">
        <v>20000</v>
      </c>
      <c r="J28" s="195">
        <v>18853</v>
      </c>
      <c r="K28" s="196">
        <v>20000</v>
      </c>
      <c r="L28" s="197">
        <v>151632.72</v>
      </c>
      <c r="M28" s="198">
        <f t="shared" si="1"/>
        <v>41245.08</v>
      </c>
      <c r="N28" s="199">
        <v>10918.54</v>
      </c>
      <c r="O28" s="200">
        <f t="shared" si="2"/>
        <v>27293.889600000002</v>
      </c>
      <c r="P28" s="201">
        <v>5481.62</v>
      </c>
      <c r="Q28" s="191">
        <f t="shared" si="3"/>
        <v>329</v>
      </c>
      <c r="R28" s="317" t="s">
        <v>539</v>
      </c>
      <c r="S28" s="253">
        <v>161941.04</v>
      </c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</row>
    <row r="29" spans="1:51" x14ac:dyDescent="0.3">
      <c r="A29" s="207" t="s">
        <v>282</v>
      </c>
      <c r="B29" s="207" t="s">
        <v>169</v>
      </c>
      <c r="C29" s="249" t="s">
        <v>597</v>
      </c>
      <c r="D29" s="271" t="s">
        <v>582</v>
      </c>
      <c r="E29" s="207" t="s">
        <v>284</v>
      </c>
      <c r="F29" s="208">
        <v>5418.79</v>
      </c>
      <c r="G29" s="208">
        <f>+F29*12</f>
        <v>65025.479999999996</v>
      </c>
      <c r="H29" s="194" t="s">
        <v>267</v>
      </c>
      <c r="I29" s="195">
        <v>40000</v>
      </c>
      <c r="J29" s="195">
        <v>37204</v>
      </c>
      <c r="K29" s="196">
        <v>40000</v>
      </c>
      <c r="L29" s="197">
        <v>248070.79</v>
      </c>
      <c r="M29" s="198">
        <f>+F29*12</f>
        <v>65025.479999999996</v>
      </c>
      <c r="N29" s="199">
        <v>15411.32</v>
      </c>
      <c r="O29" s="200">
        <f>+L29*0.9/5</f>
        <v>44652.742200000001</v>
      </c>
      <c r="P29" s="201">
        <v>5481.62</v>
      </c>
      <c r="Q29" s="191">
        <f t="shared" ref="Q29:Q49" si="4">347+36</f>
        <v>383</v>
      </c>
      <c r="R29" s="314" t="s">
        <v>495</v>
      </c>
      <c r="S29" s="253">
        <v>251271.34</v>
      </c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</row>
    <row r="30" spans="1:51" x14ac:dyDescent="0.3">
      <c r="A30" s="207" t="s">
        <v>213</v>
      </c>
      <c r="B30" s="207" t="s">
        <v>170</v>
      </c>
      <c r="C30" s="249" t="s">
        <v>597</v>
      </c>
      <c r="D30" s="271" t="s">
        <v>582</v>
      </c>
      <c r="E30" s="207" t="s">
        <v>284</v>
      </c>
      <c r="F30" s="208">
        <v>5418.79</v>
      </c>
      <c r="G30" s="208">
        <f>+F30*12</f>
        <v>65025.479999999996</v>
      </c>
      <c r="H30" s="194" t="s">
        <v>267</v>
      </c>
      <c r="I30" s="195">
        <v>15000</v>
      </c>
      <c r="J30" s="195">
        <v>36254</v>
      </c>
      <c r="K30" s="196">
        <v>40000</v>
      </c>
      <c r="L30" s="197">
        <v>248070.79</v>
      </c>
      <c r="M30" s="198">
        <f>+F30*12</f>
        <v>65025.479999999996</v>
      </c>
      <c r="N30" s="199">
        <v>15411.32</v>
      </c>
      <c r="O30" s="200">
        <f>+L30*0.9/5</f>
        <v>44652.742200000001</v>
      </c>
      <c r="P30" s="201">
        <v>5481.62</v>
      </c>
      <c r="Q30" s="191">
        <f t="shared" si="4"/>
        <v>383</v>
      </c>
      <c r="R30" s="314" t="s">
        <v>496</v>
      </c>
      <c r="S30" s="253">
        <v>251271.34</v>
      </c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</row>
    <row r="31" spans="1:51" x14ac:dyDescent="0.3">
      <c r="A31" s="207" t="s">
        <v>214</v>
      </c>
      <c r="B31" s="207" t="s">
        <v>171</v>
      </c>
      <c r="C31" s="249" t="s">
        <v>597</v>
      </c>
      <c r="D31" s="271" t="s">
        <v>283</v>
      </c>
      <c r="E31" s="207" t="s">
        <v>284</v>
      </c>
      <c r="F31" s="208">
        <v>5418.79</v>
      </c>
      <c r="G31" s="208">
        <f>+F31*12</f>
        <v>65025.479999999996</v>
      </c>
      <c r="H31" s="194" t="s">
        <v>267</v>
      </c>
      <c r="I31" s="195">
        <v>50000</v>
      </c>
      <c r="J31" s="195">
        <v>12952</v>
      </c>
      <c r="K31" s="196">
        <v>15000</v>
      </c>
      <c r="L31" s="197">
        <v>248070.79</v>
      </c>
      <c r="M31" s="198">
        <f>+F31*12</f>
        <v>65025.479999999996</v>
      </c>
      <c r="N31" s="199">
        <v>15411.32</v>
      </c>
      <c r="O31" s="200">
        <f>+L31*0.9/5</f>
        <v>44652.742200000001</v>
      </c>
      <c r="P31" s="201">
        <v>5481.62</v>
      </c>
      <c r="Q31" s="191">
        <f t="shared" si="4"/>
        <v>383</v>
      </c>
      <c r="R31" s="314" t="s">
        <v>497</v>
      </c>
      <c r="S31" s="253">
        <v>251271.34</v>
      </c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</row>
    <row r="32" spans="1:51" x14ac:dyDescent="0.3">
      <c r="A32" s="207" t="s">
        <v>215</v>
      </c>
      <c r="B32" s="207" t="s">
        <v>172</v>
      </c>
      <c r="C32" s="249" t="s">
        <v>597</v>
      </c>
      <c r="D32" s="271" t="s">
        <v>283</v>
      </c>
      <c r="E32" s="207" t="s">
        <v>284</v>
      </c>
      <c r="F32" s="208">
        <v>5418.79</v>
      </c>
      <c r="G32" s="208">
        <f>+F32*12</f>
        <v>65025.479999999996</v>
      </c>
      <c r="H32" s="194" t="s">
        <v>267</v>
      </c>
      <c r="I32" s="195">
        <v>40000</v>
      </c>
      <c r="J32" s="195">
        <v>42827</v>
      </c>
      <c r="K32" s="196">
        <v>50000</v>
      </c>
      <c r="L32" s="197">
        <v>248070.79</v>
      </c>
      <c r="M32" s="198">
        <f>+F32*12</f>
        <v>65025.479999999996</v>
      </c>
      <c r="N32" s="199">
        <v>15411.32</v>
      </c>
      <c r="O32" s="200">
        <f>+L32*0.9/5</f>
        <v>44652.742200000001</v>
      </c>
      <c r="P32" s="201">
        <v>5481.62</v>
      </c>
      <c r="Q32" s="191">
        <f t="shared" si="4"/>
        <v>383</v>
      </c>
      <c r="R32" s="314" t="s">
        <v>498</v>
      </c>
      <c r="S32" s="253">
        <v>251271.34</v>
      </c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</row>
    <row r="33" spans="1:51" x14ac:dyDescent="0.3">
      <c r="A33" s="207" t="s">
        <v>216</v>
      </c>
      <c r="B33" s="207" t="s">
        <v>173</v>
      </c>
      <c r="C33" s="249" t="s">
        <v>597</v>
      </c>
      <c r="D33" s="271" t="s">
        <v>582</v>
      </c>
      <c r="E33" s="207" t="s">
        <v>284</v>
      </c>
      <c r="F33" s="208">
        <v>5418.79</v>
      </c>
      <c r="G33" s="208">
        <f>+F33*12</f>
        <v>65025.479999999996</v>
      </c>
      <c r="H33" s="194" t="s">
        <v>267</v>
      </c>
      <c r="I33" s="195">
        <v>20000</v>
      </c>
      <c r="J33" s="195">
        <v>35805</v>
      </c>
      <c r="K33" s="196">
        <v>40000</v>
      </c>
      <c r="L33" s="197">
        <v>248070.79</v>
      </c>
      <c r="M33" s="198">
        <f>+F33*12</f>
        <v>65025.479999999996</v>
      </c>
      <c r="N33" s="199">
        <v>15411.32</v>
      </c>
      <c r="O33" s="200">
        <f>+L33*0.9/5</f>
        <v>44652.742200000001</v>
      </c>
      <c r="P33" s="201">
        <v>5481.62</v>
      </c>
      <c r="Q33" s="191">
        <f t="shared" si="4"/>
        <v>383</v>
      </c>
      <c r="R33" s="314" t="s">
        <v>499</v>
      </c>
      <c r="S33" s="253">
        <v>251271.34</v>
      </c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</row>
    <row r="34" spans="1:51" x14ac:dyDescent="0.3">
      <c r="A34" s="207" t="s">
        <v>217</v>
      </c>
      <c r="B34" s="207" t="s">
        <v>174</v>
      </c>
      <c r="C34" s="249" t="s">
        <v>597</v>
      </c>
      <c r="D34" s="271" t="s">
        <v>582</v>
      </c>
      <c r="E34" s="207" t="s">
        <v>284</v>
      </c>
      <c r="F34" s="208">
        <v>5418.79</v>
      </c>
      <c r="G34" s="208">
        <f t="shared" ref="G34:G65" si="5">+F34*12</f>
        <v>65025.479999999996</v>
      </c>
      <c r="H34" s="194" t="s">
        <v>267</v>
      </c>
      <c r="I34" s="195">
        <v>25000</v>
      </c>
      <c r="J34" s="195">
        <v>53334</v>
      </c>
      <c r="K34" s="196">
        <v>60000</v>
      </c>
      <c r="L34" s="197">
        <v>248070.79</v>
      </c>
      <c r="M34" s="198">
        <f t="shared" ref="M34:M65" si="6">+F34*12</f>
        <v>65025.479999999996</v>
      </c>
      <c r="N34" s="199">
        <v>15411.32</v>
      </c>
      <c r="O34" s="200">
        <f t="shared" ref="O34:O65" si="7">+L34*0.9/5</f>
        <v>44652.742200000001</v>
      </c>
      <c r="P34" s="201">
        <v>5481.62</v>
      </c>
      <c r="Q34" s="191">
        <f t="shared" si="4"/>
        <v>383</v>
      </c>
      <c r="R34" s="314" t="s">
        <v>500</v>
      </c>
      <c r="S34" s="253">
        <v>251271.34</v>
      </c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</row>
    <row r="35" spans="1:51" x14ac:dyDescent="0.3">
      <c r="A35" s="207" t="s">
        <v>218</v>
      </c>
      <c r="B35" s="207" t="s">
        <v>175</v>
      </c>
      <c r="C35" s="249" t="s">
        <v>597</v>
      </c>
      <c r="D35" s="271" t="s">
        <v>283</v>
      </c>
      <c r="E35" s="207" t="s">
        <v>284</v>
      </c>
      <c r="F35" s="208">
        <v>5418.79</v>
      </c>
      <c r="G35" s="208">
        <f t="shared" si="5"/>
        <v>65025.479999999996</v>
      </c>
      <c r="H35" s="194" t="s">
        <v>267</v>
      </c>
      <c r="I35" s="195">
        <v>40000</v>
      </c>
      <c r="J35" s="195">
        <v>32148</v>
      </c>
      <c r="K35" s="196">
        <v>35000</v>
      </c>
      <c r="L35" s="197">
        <v>248070.79</v>
      </c>
      <c r="M35" s="198">
        <f t="shared" si="6"/>
        <v>65025.479999999996</v>
      </c>
      <c r="N35" s="199">
        <v>15411.32</v>
      </c>
      <c r="O35" s="200">
        <f t="shared" si="7"/>
        <v>44652.742200000001</v>
      </c>
      <c r="P35" s="201">
        <v>5481.62</v>
      </c>
      <c r="Q35" s="191">
        <f t="shared" si="4"/>
        <v>383</v>
      </c>
      <c r="R35" s="314" t="s">
        <v>501</v>
      </c>
      <c r="S35" s="253">
        <v>251271.34</v>
      </c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</row>
    <row r="36" spans="1:51" x14ac:dyDescent="0.3">
      <c r="A36" s="207" t="s">
        <v>219</v>
      </c>
      <c r="B36" s="207" t="s">
        <v>176</v>
      </c>
      <c r="C36" s="249" t="s">
        <v>597</v>
      </c>
      <c r="D36" s="271" t="s">
        <v>283</v>
      </c>
      <c r="E36" s="207" t="s">
        <v>284</v>
      </c>
      <c r="F36" s="208">
        <v>5418.79</v>
      </c>
      <c r="G36" s="208">
        <f t="shared" si="5"/>
        <v>65025.479999999996</v>
      </c>
      <c r="H36" s="194" t="s">
        <v>267</v>
      </c>
      <c r="I36" s="195">
        <v>40000</v>
      </c>
      <c r="J36" s="195">
        <v>33912</v>
      </c>
      <c r="K36" s="196">
        <v>35000</v>
      </c>
      <c r="L36" s="197">
        <v>248070.79</v>
      </c>
      <c r="M36" s="198">
        <f t="shared" si="6"/>
        <v>65025.479999999996</v>
      </c>
      <c r="N36" s="199">
        <v>15411.32</v>
      </c>
      <c r="O36" s="200">
        <f t="shared" si="7"/>
        <v>44652.742200000001</v>
      </c>
      <c r="P36" s="201">
        <v>5481.62</v>
      </c>
      <c r="Q36" s="191">
        <f t="shared" si="4"/>
        <v>383</v>
      </c>
      <c r="R36" s="314" t="s">
        <v>502</v>
      </c>
      <c r="S36" s="253">
        <v>251271.34</v>
      </c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</row>
    <row r="37" spans="1:51" x14ac:dyDescent="0.3">
      <c r="A37" s="207" t="s">
        <v>220</v>
      </c>
      <c r="B37" s="207" t="s">
        <v>177</v>
      </c>
      <c r="C37" s="249" t="s">
        <v>597</v>
      </c>
      <c r="D37" s="271" t="s">
        <v>283</v>
      </c>
      <c r="E37" s="207" t="s">
        <v>284</v>
      </c>
      <c r="F37" s="208">
        <v>5418.79</v>
      </c>
      <c r="G37" s="208">
        <f t="shared" si="5"/>
        <v>65025.479999999996</v>
      </c>
      <c r="H37" s="194" t="s">
        <v>267</v>
      </c>
      <c r="I37" s="195">
        <v>40000</v>
      </c>
      <c r="J37" s="195">
        <v>20850</v>
      </c>
      <c r="K37" s="196">
        <v>30000</v>
      </c>
      <c r="L37" s="197">
        <v>248070.79</v>
      </c>
      <c r="M37" s="198">
        <f t="shared" si="6"/>
        <v>65025.479999999996</v>
      </c>
      <c r="N37" s="199">
        <v>15411.32</v>
      </c>
      <c r="O37" s="200">
        <f t="shared" si="7"/>
        <v>44652.742200000001</v>
      </c>
      <c r="P37" s="201">
        <v>5481.62</v>
      </c>
      <c r="Q37" s="191">
        <f t="shared" si="4"/>
        <v>383</v>
      </c>
      <c r="R37" s="314" t="s">
        <v>503</v>
      </c>
      <c r="S37" s="253">
        <v>251271.34</v>
      </c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</row>
    <row r="38" spans="1:51" x14ac:dyDescent="0.3">
      <c r="A38" s="207" t="s">
        <v>221</v>
      </c>
      <c r="B38" s="207" t="s">
        <v>332</v>
      </c>
      <c r="C38" s="249" t="s">
        <v>597</v>
      </c>
      <c r="D38" s="271" t="s">
        <v>283</v>
      </c>
      <c r="E38" s="207" t="s">
        <v>284</v>
      </c>
      <c r="F38" s="208">
        <v>5418.79</v>
      </c>
      <c r="G38" s="208">
        <f t="shared" si="5"/>
        <v>65025.479999999996</v>
      </c>
      <c r="H38" s="194" t="s">
        <v>267</v>
      </c>
      <c r="I38" s="195">
        <v>30000</v>
      </c>
      <c r="J38" s="195">
        <v>14417</v>
      </c>
      <c r="K38" s="196">
        <v>20000</v>
      </c>
      <c r="L38" s="197">
        <v>248070.79</v>
      </c>
      <c r="M38" s="198">
        <f t="shared" si="6"/>
        <v>65025.479999999996</v>
      </c>
      <c r="N38" s="199">
        <v>15411.32</v>
      </c>
      <c r="O38" s="200">
        <f t="shared" si="7"/>
        <v>44652.742200000001</v>
      </c>
      <c r="P38" s="201">
        <v>5481.62</v>
      </c>
      <c r="Q38" s="191">
        <f t="shared" si="4"/>
        <v>383</v>
      </c>
      <c r="R38" s="314" t="s">
        <v>504</v>
      </c>
      <c r="S38" s="253">
        <v>251271.34</v>
      </c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</row>
    <row r="39" spans="1:51" x14ac:dyDescent="0.3">
      <c r="A39" s="207" t="s">
        <v>222</v>
      </c>
      <c r="B39" s="207" t="s">
        <v>381</v>
      </c>
      <c r="C39" s="249" t="s">
        <v>597</v>
      </c>
      <c r="D39" s="271" t="s">
        <v>283</v>
      </c>
      <c r="E39" s="207" t="s">
        <v>284</v>
      </c>
      <c r="F39" s="208">
        <v>5418.79</v>
      </c>
      <c r="G39" s="208">
        <f t="shared" si="5"/>
        <v>65025.479999999996</v>
      </c>
      <c r="H39" s="194" t="s">
        <v>267</v>
      </c>
      <c r="I39" s="195">
        <v>20000</v>
      </c>
      <c r="J39" s="195">
        <v>16071</v>
      </c>
      <c r="K39" s="196">
        <v>20000</v>
      </c>
      <c r="L39" s="197">
        <v>248070.79</v>
      </c>
      <c r="M39" s="198">
        <f t="shared" si="6"/>
        <v>65025.479999999996</v>
      </c>
      <c r="N39" s="199">
        <v>15411.32</v>
      </c>
      <c r="O39" s="200">
        <f t="shared" si="7"/>
        <v>44652.742200000001</v>
      </c>
      <c r="P39" s="201">
        <v>5481.62</v>
      </c>
      <c r="Q39" s="191">
        <f t="shared" si="4"/>
        <v>383</v>
      </c>
      <c r="R39" s="314" t="s">
        <v>505</v>
      </c>
      <c r="S39" s="253">
        <v>251271.34</v>
      </c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</row>
    <row r="40" spans="1:51" x14ac:dyDescent="0.3">
      <c r="A40" s="207" t="s">
        <v>223</v>
      </c>
      <c r="B40" s="207" t="s">
        <v>382</v>
      </c>
      <c r="C40" s="249" t="s">
        <v>597</v>
      </c>
      <c r="D40" s="271" t="s">
        <v>283</v>
      </c>
      <c r="E40" s="207" t="s">
        <v>284</v>
      </c>
      <c r="F40" s="208">
        <v>5418.79</v>
      </c>
      <c r="G40" s="208">
        <f t="shared" si="5"/>
        <v>65025.479999999996</v>
      </c>
      <c r="H40" s="194" t="s">
        <v>267</v>
      </c>
      <c r="I40" s="195">
        <v>20000</v>
      </c>
      <c r="J40" s="195">
        <v>10515</v>
      </c>
      <c r="K40" s="196">
        <v>15000</v>
      </c>
      <c r="L40" s="197">
        <v>248070.79</v>
      </c>
      <c r="M40" s="198">
        <f t="shared" si="6"/>
        <v>65025.479999999996</v>
      </c>
      <c r="N40" s="199">
        <v>15411.32</v>
      </c>
      <c r="O40" s="200">
        <f t="shared" si="7"/>
        <v>44652.742200000001</v>
      </c>
      <c r="P40" s="201">
        <v>5481.62</v>
      </c>
      <c r="Q40" s="191">
        <f t="shared" si="4"/>
        <v>383</v>
      </c>
      <c r="R40" s="314" t="s">
        <v>506</v>
      </c>
      <c r="S40" s="253">
        <v>251271.34</v>
      </c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</row>
    <row r="41" spans="1:51" x14ac:dyDescent="0.3">
      <c r="A41" s="207" t="s">
        <v>224</v>
      </c>
      <c r="B41" s="207" t="s">
        <v>383</v>
      </c>
      <c r="C41" s="249" t="s">
        <v>597</v>
      </c>
      <c r="D41" s="271" t="s">
        <v>582</v>
      </c>
      <c r="E41" s="207" t="s">
        <v>284</v>
      </c>
      <c r="F41" s="208">
        <v>5418.79</v>
      </c>
      <c r="G41" s="208">
        <f t="shared" si="5"/>
        <v>65025.479999999996</v>
      </c>
      <c r="H41" s="194" t="s">
        <v>267</v>
      </c>
      <c r="I41" s="195">
        <v>20000</v>
      </c>
      <c r="J41" s="195">
        <v>9821</v>
      </c>
      <c r="K41" s="196">
        <v>10000</v>
      </c>
      <c r="L41" s="197">
        <v>248070.79</v>
      </c>
      <c r="M41" s="198">
        <f t="shared" si="6"/>
        <v>65025.479999999996</v>
      </c>
      <c r="N41" s="199">
        <v>15411.32</v>
      </c>
      <c r="O41" s="200">
        <f t="shared" si="7"/>
        <v>44652.742200000001</v>
      </c>
      <c r="P41" s="201">
        <v>5481.62</v>
      </c>
      <c r="Q41" s="191">
        <f t="shared" si="4"/>
        <v>383</v>
      </c>
      <c r="R41" s="314" t="s">
        <v>507</v>
      </c>
      <c r="S41" s="253">
        <v>251271.34</v>
      </c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</row>
    <row r="42" spans="1:51" x14ac:dyDescent="0.3">
      <c r="A42" s="207" t="s">
        <v>225</v>
      </c>
      <c r="B42" s="207" t="s">
        <v>384</v>
      </c>
      <c r="C42" s="249" t="s">
        <v>597</v>
      </c>
      <c r="D42" s="271" t="s">
        <v>283</v>
      </c>
      <c r="E42" s="207" t="s">
        <v>284</v>
      </c>
      <c r="F42" s="208">
        <v>5418.79</v>
      </c>
      <c r="G42" s="208">
        <f t="shared" si="5"/>
        <v>65025.479999999996</v>
      </c>
      <c r="H42" s="194" t="s">
        <v>267</v>
      </c>
      <c r="I42" s="195">
        <v>20000</v>
      </c>
      <c r="J42" s="195">
        <v>11936</v>
      </c>
      <c r="K42" s="196">
        <v>15000</v>
      </c>
      <c r="L42" s="197">
        <v>248070.79</v>
      </c>
      <c r="M42" s="198">
        <f t="shared" si="6"/>
        <v>65025.479999999996</v>
      </c>
      <c r="N42" s="199">
        <v>15411.32</v>
      </c>
      <c r="O42" s="200">
        <f t="shared" si="7"/>
        <v>44652.742200000001</v>
      </c>
      <c r="P42" s="201">
        <v>5481.62</v>
      </c>
      <c r="Q42" s="191">
        <f t="shared" si="4"/>
        <v>383</v>
      </c>
      <c r="R42" s="314" t="s">
        <v>508</v>
      </c>
      <c r="S42" s="253">
        <v>251271.34</v>
      </c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</row>
    <row r="43" spans="1:51" x14ac:dyDescent="0.3">
      <c r="A43" s="209" t="s">
        <v>265</v>
      </c>
      <c r="B43" s="209" t="s">
        <v>158</v>
      </c>
      <c r="C43" s="2" t="s">
        <v>598</v>
      </c>
      <c r="D43" s="271" t="s">
        <v>39</v>
      </c>
      <c r="E43" s="209" t="s">
        <v>266</v>
      </c>
      <c r="F43" s="210">
        <v>4954.3900000000003</v>
      </c>
      <c r="G43" s="210">
        <f t="shared" si="5"/>
        <v>59452.680000000008</v>
      </c>
      <c r="H43" s="194" t="s">
        <v>267</v>
      </c>
      <c r="I43" s="195">
        <v>14000</v>
      </c>
      <c r="J43" s="195">
        <v>37617</v>
      </c>
      <c r="K43" s="196">
        <v>40000</v>
      </c>
      <c r="L43" s="197">
        <v>225014.33</v>
      </c>
      <c r="M43" s="198">
        <f t="shared" si="6"/>
        <v>59452.680000000008</v>
      </c>
      <c r="N43" s="199">
        <v>14449.81</v>
      </c>
      <c r="O43" s="200">
        <f t="shared" si="7"/>
        <v>40502.579400000002</v>
      </c>
      <c r="P43" s="201">
        <v>5481.62</v>
      </c>
      <c r="Q43" s="191">
        <f t="shared" si="4"/>
        <v>383</v>
      </c>
      <c r="R43" s="314" t="s">
        <v>509</v>
      </c>
      <c r="S43" s="253">
        <v>228155.56</v>
      </c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</row>
    <row r="44" spans="1:51" x14ac:dyDescent="0.3">
      <c r="A44" s="209" t="s">
        <v>279</v>
      </c>
      <c r="B44" s="209" t="s">
        <v>166</v>
      </c>
      <c r="C44" s="2" t="s">
        <v>598</v>
      </c>
      <c r="D44" s="269" t="s">
        <v>39</v>
      </c>
      <c r="E44" s="209" t="s">
        <v>266</v>
      </c>
      <c r="F44" s="210">
        <v>4954.3900000000003</v>
      </c>
      <c r="G44" s="210">
        <f t="shared" si="5"/>
        <v>59452.680000000008</v>
      </c>
      <c r="H44" s="194" t="s">
        <v>267</v>
      </c>
      <c r="I44" s="195">
        <v>80000</v>
      </c>
      <c r="J44" s="195">
        <v>72288</v>
      </c>
      <c r="K44" s="196">
        <v>80000</v>
      </c>
      <c r="L44" s="197">
        <v>225014.33</v>
      </c>
      <c r="M44" s="198">
        <f t="shared" si="6"/>
        <v>59452.680000000008</v>
      </c>
      <c r="N44" s="199">
        <v>14449.81</v>
      </c>
      <c r="O44" s="200">
        <f t="shared" si="7"/>
        <v>40502.579400000002</v>
      </c>
      <c r="P44" s="201">
        <v>5481.62</v>
      </c>
      <c r="Q44" s="191">
        <f t="shared" si="4"/>
        <v>383</v>
      </c>
      <c r="R44" s="314" t="s">
        <v>510</v>
      </c>
      <c r="S44" s="253">
        <v>228156.28</v>
      </c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</row>
    <row r="45" spans="1:51" x14ac:dyDescent="0.3">
      <c r="A45" s="209" t="s">
        <v>299</v>
      </c>
      <c r="B45" s="209" t="s">
        <v>281</v>
      </c>
      <c r="C45" s="2" t="s">
        <v>608</v>
      </c>
      <c r="D45" s="271" t="s">
        <v>92</v>
      </c>
      <c r="E45" s="209" t="s">
        <v>266</v>
      </c>
      <c r="F45" s="210">
        <v>4954.3900000000003</v>
      </c>
      <c r="G45" s="210">
        <f t="shared" si="5"/>
        <v>59452.680000000008</v>
      </c>
      <c r="H45" s="194" t="s">
        <v>267</v>
      </c>
      <c r="I45" s="195">
        <v>12000</v>
      </c>
      <c r="J45" s="195">
        <v>6805</v>
      </c>
      <c r="K45" s="196">
        <v>10000</v>
      </c>
      <c r="L45" s="197">
        <v>225014.33</v>
      </c>
      <c r="M45" s="198">
        <f t="shared" si="6"/>
        <v>59452.680000000008</v>
      </c>
      <c r="N45" s="199">
        <v>14449.81</v>
      </c>
      <c r="O45" s="200">
        <f t="shared" si="7"/>
        <v>40502.579400000002</v>
      </c>
      <c r="P45" s="201">
        <v>5481.62</v>
      </c>
      <c r="Q45" s="191">
        <f t="shared" si="4"/>
        <v>383</v>
      </c>
      <c r="R45" s="314" t="s">
        <v>511</v>
      </c>
      <c r="S45" s="253">
        <v>228156.28</v>
      </c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</row>
    <row r="46" spans="1:51" x14ac:dyDescent="0.3">
      <c r="A46" s="209" t="s">
        <v>346</v>
      </c>
      <c r="B46" s="209" t="s">
        <v>347</v>
      </c>
      <c r="C46" s="2" t="s">
        <v>608</v>
      </c>
      <c r="D46" s="270" t="s">
        <v>92</v>
      </c>
      <c r="E46" s="209" t="s">
        <v>266</v>
      </c>
      <c r="F46" s="210">
        <v>4954.3900000000003</v>
      </c>
      <c r="G46" s="210">
        <f t="shared" si="5"/>
        <v>59452.680000000008</v>
      </c>
      <c r="H46" s="194" t="s">
        <v>267</v>
      </c>
      <c r="I46" s="195">
        <v>20000</v>
      </c>
      <c r="J46" s="195">
        <v>0</v>
      </c>
      <c r="K46" s="196">
        <v>15000</v>
      </c>
      <c r="L46" s="197">
        <v>225014.33</v>
      </c>
      <c r="M46" s="198">
        <f t="shared" si="6"/>
        <v>59452.680000000008</v>
      </c>
      <c r="N46" s="199">
        <v>14449.81</v>
      </c>
      <c r="O46" s="200">
        <f t="shared" si="7"/>
        <v>40502.579400000002</v>
      </c>
      <c r="P46" s="201">
        <v>5481.62</v>
      </c>
      <c r="Q46" s="191">
        <f t="shared" si="4"/>
        <v>383</v>
      </c>
      <c r="R46" s="314" t="s">
        <v>512</v>
      </c>
      <c r="S46" s="253">
        <v>228156.28</v>
      </c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</row>
    <row r="47" spans="1:51" x14ac:dyDescent="0.3">
      <c r="A47" s="209" t="s">
        <v>348</v>
      </c>
      <c r="B47" s="209" t="s">
        <v>239</v>
      </c>
      <c r="C47" s="2" t="s">
        <v>608</v>
      </c>
      <c r="D47" s="271" t="s">
        <v>92</v>
      </c>
      <c r="E47" s="209" t="s">
        <v>266</v>
      </c>
      <c r="F47" s="210">
        <v>4954.3900000000003</v>
      </c>
      <c r="G47" s="210">
        <f t="shared" si="5"/>
        <v>59452.680000000008</v>
      </c>
      <c r="H47" s="194" t="s">
        <v>267</v>
      </c>
      <c r="I47" s="195">
        <v>30000</v>
      </c>
      <c r="J47" s="195">
        <v>21548</v>
      </c>
      <c r="K47" s="196">
        <v>30000</v>
      </c>
      <c r="L47" s="197">
        <v>225014.33</v>
      </c>
      <c r="M47" s="198">
        <f t="shared" si="6"/>
        <v>59452.680000000008</v>
      </c>
      <c r="N47" s="199">
        <v>14449.81</v>
      </c>
      <c r="O47" s="200">
        <f t="shared" si="7"/>
        <v>40502.579400000002</v>
      </c>
      <c r="P47" s="201">
        <v>5481.62</v>
      </c>
      <c r="Q47" s="191">
        <f t="shared" si="4"/>
        <v>383</v>
      </c>
      <c r="R47" s="314" t="s">
        <v>513</v>
      </c>
      <c r="S47" s="253">
        <v>228156.28</v>
      </c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</row>
    <row r="48" spans="1:51" x14ac:dyDescent="0.3">
      <c r="A48" s="209" t="s">
        <v>349</v>
      </c>
      <c r="B48" s="209" t="s">
        <v>350</v>
      </c>
      <c r="C48" s="2" t="s">
        <v>607</v>
      </c>
      <c r="D48" s="271" t="s">
        <v>74</v>
      </c>
      <c r="E48" s="209" t="s">
        <v>266</v>
      </c>
      <c r="F48" s="210">
        <v>4954.3900000000003</v>
      </c>
      <c r="G48" s="210">
        <f t="shared" si="5"/>
        <v>59452.680000000008</v>
      </c>
      <c r="H48" s="194" t="s">
        <v>267</v>
      </c>
      <c r="I48" s="195">
        <v>18000</v>
      </c>
      <c r="J48" s="195">
        <v>11211</v>
      </c>
      <c r="K48" s="196">
        <v>15000</v>
      </c>
      <c r="L48" s="197">
        <v>225014.33</v>
      </c>
      <c r="M48" s="198">
        <f t="shared" si="6"/>
        <v>59452.680000000008</v>
      </c>
      <c r="N48" s="199">
        <v>14449.81</v>
      </c>
      <c r="O48" s="200">
        <f t="shared" si="7"/>
        <v>40502.579400000002</v>
      </c>
      <c r="P48" s="201">
        <v>5481.62</v>
      </c>
      <c r="Q48" s="191">
        <f t="shared" si="4"/>
        <v>383</v>
      </c>
      <c r="R48" s="314" t="s">
        <v>514</v>
      </c>
      <c r="S48" s="253">
        <v>228155.56</v>
      </c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</row>
    <row r="49" spans="1:51" x14ac:dyDescent="0.3">
      <c r="A49" s="211" t="s">
        <v>300</v>
      </c>
      <c r="B49" s="211" t="s">
        <v>298</v>
      </c>
      <c r="C49" s="2" t="s">
        <v>608</v>
      </c>
      <c r="D49" s="271" t="s">
        <v>92</v>
      </c>
      <c r="E49" s="211" t="s">
        <v>301</v>
      </c>
      <c r="F49" s="212">
        <v>5163.37</v>
      </c>
      <c r="G49" s="212">
        <f t="shared" si="5"/>
        <v>61960.44</v>
      </c>
      <c r="H49" s="194" t="s">
        <v>267</v>
      </c>
      <c r="I49" s="195">
        <v>16000</v>
      </c>
      <c r="J49" s="195">
        <v>0</v>
      </c>
      <c r="K49" s="196">
        <v>15000</v>
      </c>
      <c r="L49" s="197">
        <v>235490</v>
      </c>
      <c r="M49" s="198">
        <f t="shared" si="6"/>
        <v>61960.44</v>
      </c>
      <c r="N49" s="199">
        <v>14862.44</v>
      </c>
      <c r="O49" s="200">
        <f t="shared" si="7"/>
        <v>42388.2</v>
      </c>
      <c r="P49" s="201">
        <v>5481.62</v>
      </c>
      <c r="Q49" s="191">
        <f t="shared" si="4"/>
        <v>383</v>
      </c>
      <c r="R49" s="314" t="s">
        <v>515</v>
      </c>
      <c r="S49" s="253">
        <v>238529.56</v>
      </c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</row>
    <row r="50" spans="1:51" x14ac:dyDescent="0.3">
      <c r="A50" s="213" t="s">
        <v>286</v>
      </c>
      <c r="B50" s="213" t="s">
        <v>287</v>
      </c>
      <c r="C50" s="2" t="s">
        <v>585</v>
      </c>
      <c r="D50" s="269" t="s">
        <v>87</v>
      </c>
      <c r="E50" s="213" t="s">
        <v>262</v>
      </c>
      <c r="F50" s="214">
        <v>6998.47</v>
      </c>
      <c r="G50" s="214">
        <f t="shared" si="5"/>
        <v>83981.64</v>
      </c>
      <c r="H50" s="194" t="s">
        <v>288</v>
      </c>
      <c r="I50" s="195">
        <v>15000</v>
      </c>
      <c r="J50" s="195">
        <v>12406</v>
      </c>
      <c r="K50" s="196">
        <v>15000</v>
      </c>
      <c r="L50" s="197">
        <v>325220.26</v>
      </c>
      <c r="M50" s="198">
        <f t="shared" si="6"/>
        <v>83981.64</v>
      </c>
      <c r="N50" s="199">
        <v>18937.59</v>
      </c>
      <c r="O50" s="200">
        <f t="shared" si="7"/>
        <v>58539.646800000002</v>
      </c>
      <c r="P50" s="201">
        <v>5269.45</v>
      </c>
      <c r="Q50" s="191">
        <f>627+36</f>
        <v>663</v>
      </c>
      <c r="R50" s="314" t="s">
        <v>548</v>
      </c>
      <c r="S50" s="253">
        <f>286570.24+40119.84</f>
        <v>326690.07999999996</v>
      </c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</row>
    <row r="51" spans="1:51" x14ac:dyDescent="0.3">
      <c r="A51" s="213" t="s">
        <v>289</v>
      </c>
      <c r="B51" s="213" t="s">
        <v>290</v>
      </c>
      <c r="C51" s="2" t="s">
        <v>583</v>
      </c>
      <c r="D51" s="269" t="s">
        <v>86</v>
      </c>
      <c r="E51" s="213" t="s">
        <v>262</v>
      </c>
      <c r="F51" s="214">
        <v>6998.47</v>
      </c>
      <c r="G51" s="214">
        <f t="shared" si="5"/>
        <v>83981.64</v>
      </c>
      <c r="H51" s="194" t="s">
        <v>288</v>
      </c>
      <c r="I51" s="195">
        <v>15000</v>
      </c>
      <c r="J51" s="195">
        <v>4147</v>
      </c>
      <c r="K51" s="196">
        <v>8000</v>
      </c>
      <c r="L51" s="197">
        <v>325220.26</v>
      </c>
      <c r="M51" s="198">
        <f t="shared" si="6"/>
        <v>83981.64</v>
      </c>
      <c r="N51" s="199">
        <v>18937.59</v>
      </c>
      <c r="O51" s="200">
        <f t="shared" si="7"/>
        <v>58539.646800000002</v>
      </c>
      <c r="P51" s="201">
        <v>5239.45</v>
      </c>
      <c r="Q51" s="191">
        <f>627+36</f>
        <v>663</v>
      </c>
      <c r="R51" s="314" t="s">
        <v>549</v>
      </c>
      <c r="S51" s="253">
        <f>286570.24+40119.84</f>
        <v>326690.07999999996</v>
      </c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</row>
    <row r="52" spans="1:51" x14ac:dyDescent="0.3">
      <c r="A52" s="215" t="s">
        <v>351</v>
      </c>
      <c r="B52" s="215" t="s">
        <v>352</v>
      </c>
      <c r="C52" s="2" t="s">
        <v>599</v>
      </c>
      <c r="D52" s="271" t="s">
        <v>39</v>
      </c>
      <c r="E52" s="215" t="s">
        <v>264</v>
      </c>
      <c r="F52" s="216">
        <v>6892.51</v>
      </c>
      <c r="G52" s="216">
        <f t="shared" si="5"/>
        <v>82710.12</v>
      </c>
      <c r="H52" s="194" t="s">
        <v>288</v>
      </c>
      <c r="I52" s="195">
        <v>15000</v>
      </c>
      <c r="J52" s="195">
        <v>1697</v>
      </c>
      <c r="K52" s="196">
        <v>5000</v>
      </c>
      <c r="L52" s="197">
        <v>231156.68</v>
      </c>
      <c r="M52" s="198">
        <f t="shared" si="6"/>
        <v>82710.12</v>
      </c>
      <c r="N52" s="199">
        <v>36478.78</v>
      </c>
      <c r="O52" s="200">
        <f t="shared" si="7"/>
        <v>41608.202399999995</v>
      </c>
      <c r="P52" s="201">
        <v>6057.27</v>
      </c>
      <c r="Q52" s="191">
        <v>636</v>
      </c>
      <c r="R52" s="314" t="s">
        <v>553</v>
      </c>
      <c r="S52" s="253">
        <v>231132.32</v>
      </c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</row>
    <row r="53" spans="1:51" x14ac:dyDescent="0.3">
      <c r="A53" s="215" t="s">
        <v>353</v>
      </c>
      <c r="B53" s="215" t="s">
        <v>354</v>
      </c>
      <c r="C53" s="2" t="s">
        <v>614</v>
      </c>
      <c r="D53" s="270" t="s">
        <v>41</v>
      </c>
      <c r="E53" s="215" t="s">
        <v>264</v>
      </c>
      <c r="F53" s="216">
        <v>6892.51</v>
      </c>
      <c r="G53" s="216">
        <f t="shared" si="5"/>
        <v>82710.12</v>
      </c>
      <c r="H53" s="194" t="s">
        <v>288</v>
      </c>
      <c r="I53" s="195">
        <v>8000</v>
      </c>
      <c r="J53" s="195">
        <v>13801</v>
      </c>
      <c r="K53" s="196">
        <v>15000</v>
      </c>
      <c r="L53" s="197">
        <v>231156.68</v>
      </c>
      <c r="M53" s="198">
        <f t="shared" si="6"/>
        <v>82710.12</v>
      </c>
      <c r="N53" s="199">
        <v>36478.78</v>
      </c>
      <c r="O53" s="200">
        <f t="shared" si="7"/>
        <v>41608.202399999995</v>
      </c>
      <c r="P53" s="201">
        <v>6057.27</v>
      </c>
      <c r="Q53" s="191">
        <v>636</v>
      </c>
      <c r="R53" s="314" t="s">
        <v>554</v>
      </c>
      <c r="S53" s="253">
        <v>231132.32</v>
      </c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</row>
    <row r="54" spans="1:51" x14ac:dyDescent="0.3">
      <c r="A54" s="215" t="s">
        <v>388</v>
      </c>
      <c r="B54" s="215" t="s">
        <v>389</v>
      </c>
      <c r="C54" s="2" t="s">
        <v>614</v>
      </c>
      <c r="D54" s="271" t="s">
        <v>41</v>
      </c>
      <c r="E54" s="215" t="s">
        <v>264</v>
      </c>
      <c r="F54" s="216">
        <v>6892.51</v>
      </c>
      <c r="G54" s="216">
        <f t="shared" si="5"/>
        <v>82710.12</v>
      </c>
      <c r="H54" s="194" t="s">
        <v>288</v>
      </c>
      <c r="I54" s="195">
        <v>20000</v>
      </c>
      <c r="J54" s="195">
        <v>11906</v>
      </c>
      <c r="K54" s="196">
        <v>15000</v>
      </c>
      <c r="L54" s="197">
        <v>231156.68</v>
      </c>
      <c r="M54" s="198">
        <f t="shared" si="6"/>
        <v>82710.12</v>
      </c>
      <c r="N54" s="199">
        <v>36478.78</v>
      </c>
      <c r="O54" s="200">
        <f t="shared" si="7"/>
        <v>41608.202399999995</v>
      </c>
      <c r="P54" s="201">
        <v>6057.27</v>
      </c>
      <c r="Q54" s="191">
        <v>636</v>
      </c>
      <c r="R54" s="314" t="s">
        <v>555</v>
      </c>
      <c r="S54" s="253">
        <f>202747.65+28384.67</f>
        <v>231132.32</v>
      </c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</row>
    <row r="55" spans="1:51" x14ac:dyDescent="0.3">
      <c r="A55" s="215" t="s">
        <v>390</v>
      </c>
      <c r="B55" s="215" t="s">
        <v>391</v>
      </c>
      <c r="C55" s="2" t="s">
        <v>614</v>
      </c>
      <c r="D55" s="271" t="s">
        <v>41</v>
      </c>
      <c r="E55" s="215" t="s">
        <v>264</v>
      </c>
      <c r="F55" s="216">
        <v>6892.51</v>
      </c>
      <c r="G55" s="216">
        <f t="shared" si="5"/>
        <v>82710.12</v>
      </c>
      <c r="H55" s="194" t="s">
        <v>288</v>
      </c>
      <c r="I55" s="195">
        <v>10000</v>
      </c>
      <c r="J55" s="195">
        <v>0</v>
      </c>
      <c r="K55" s="196">
        <v>15000</v>
      </c>
      <c r="L55" s="197">
        <v>231156.68</v>
      </c>
      <c r="M55" s="198">
        <f t="shared" si="6"/>
        <v>82710.12</v>
      </c>
      <c r="N55" s="199">
        <v>36478.78</v>
      </c>
      <c r="O55" s="200">
        <f t="shared" si="7"/>
        <v>41608.202399999995</v>
      </c>
      <c r="P55" s="201">
        <v>6057.27</v>
      </c>
      <c r="Q55" s="191">
        <v>636</v>
      </c>
      <c r="R55" s="314" t="s">
        <v>556</v>
      </c>
      <c r="S55" s="253">
        <v>231132.32</v>
      </c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</row>
    <row r="56" spans="1:51" x14ac:dyDescent="0.3">
      <c r="A56" s="215" t="s">
        <v>392</v>
      </c>
      <c r="B56" s="215" t="s">
        <v>393</v>
      </c>
      <c r="C56" s="2" t="s">
        <v>612</v>
      </c>
      <c r="D56" s="270" t="s">
        <v>40</v>
      </c>
      <c r="E56" s="215" t="s">
        <v>264</v>
      </c>
      <c r="F56" s="216">
        <v>6892.51</v>
      </c>
      <c r="G56" s="216">
        <f t="shared" si="5"/>
        <v>82710.12</v>
      </c>
      <c r="H56" s="194" t="s">
        <v>288</v>
      </c>
      <c r="I56" s="195">
        <v>10000</v>
      </c>
      <c r="J56" s="195">
        <v>7795</v>
      </c>
      <c r="K56" s="196">
        <v>10000</v>
      </c>
      <c r="L56" s="197">
        <v>231156.68</v>
      </c>
      <c r="M56" s="198">
        <f t="shared" si="6"/>
        <v>82710.12</v>
      </c>
      <c r="N56" s="199">
        <v>36478.78</v>
      </c>
      <c r="O56" s="200">
        <f t="shared" si="7"/>
        <v>41608.202399999995</v>
      </c>
      <c r="P56" s="201">
        <v>6057.27</v>
      </c>
      <c r="Q56" s="191">
        <v>636</v>
      </c>
      <c r="R56" s="314" t="s">
        <v>557</v>
      </c>
      <c r="S56" s="253">
        <v>231132.32</v>
      </c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</row>
    <row r="57" spans="1:51" x14ac:dyDescent="0.3">
      <c r="A57" s="217" t="s">
        <v>291</v>
      </c>
      <c r="B57" s="217" t="s">
        <v>178</v>
      </c>
      <c r="C57" s="2" t="s">
        <v>619</v>
      </c>
      <c r="D57" s="271" t="s">
        <v>582</v>
      </c>
      <c r="E57" s="217" t="s">
        <v>292</v>
      </c>
      <c r="F57" s="218">
        <v>8221.42</v>
      </c>
      <c r="G57" s="218">
        <f t="shared" si="5"/>
        <v>98657.040000000008</v>
      </c>
      <c r="H57" s="194" t="s">
        <v>267</v>
      </c>
      <c r="I57" s="195">
        <v>25000</v>
      </c>
      <c r="J57" s="195">
        <v>8442</v>
      </c>
      <c r="K57" s="196">
        <v>10000</v>
      </c>
      <c r="L57" s="197">
        <v>297175.94</v>
      </c>
      <c r="M57" s="198">
        <f t="shared" si="6"/>
        <v>98657.040000000008</v>
      </c>
      <c r="N57" s="199">
        <v>39221.85</v>
      </c>
      <c r="O57" s="200">
        <f t="shared" si="7"/>
        <v>53491.669200000004</v>
      </c>
      <c r="P57" s="201">
        <v>6057.27</v>
      </c>
      <c r="Q57" s="191">
        <v>1838</v>
      </c>
      <c r="R57" s="314" t="s">
        <v>558</v>
      </c>
      <c r="S57" s="253">
        <v>307313.94</v>
      </c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</row>
    <row r="58" spans="1:51" x14ac:dyDescent="0.3">
      <c r="A58" s="217" t="s">
        <v>293</v>
      </c>
      <c r="B58" s="217" t="s">
        <v>179</v>
      </c>
      <c r="C58" s="2" t="s">
        <v>619</v>
      </c>
      <c r="D58" s="271" t="s">
        <v>582</v>
      </c>
      <c r="E58" s="217" t="s">
        <v>292</v>
      </c>
      <c r="F58" s="218">
        <v>8221.42</v>
      </c>
      <c r="G58" s="218">
        <f t="shared" si="5"/>
        <v>98657.040000000008</v>
      </c>
      <c r="H58" s="194" t="s">
        <v>267</v>
      </c>
      <c r="I58" s="195">
        <v>15000</v>
      </c>
      <c r="J58" s="195">
        <v>25681</v>
      </c>
      <c r="K58" s="196">
        <v>30000</v>
      </c>
      <c r="L58" s="197">
        <v>297175.94</v>
      </c>
      <c r="M58" s="198">
        <f t="shared" si="6"/>
        <v>98657.040000000008</v>
      </c>
      <c r="N58" s="199">
        <v>39221.85</v>
      </c>
      <c r="O58" s="200">
        <f t="shared" si="7"/>
        <v>53491.669200000004</v>
      </c>
      <c r="P58" s="201">
        <v>6057.27</v>
      </c>
      <c r="Q58" s="191">
        <v>1838</v>
      </c>
      <c r="R58" s="314" t="s">
        <v>559</v>
      </c>
      <c r="S58" s="253">
        <v>307313.94</v>
      </c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</row>
    <row r="59" spans="1:51" x14ac:dyDescent="0.3">
      <c r="A59" s="217" t="s">
        <v>294</v>
      </c>
      <c r="B59" s="217" t="s">
        <v>180</v>
      </c>
      <c r="C59" s="2" t="s">
        <v>619</v>
      </c>
      <c r="D59" s="271" t="s">
        <v>283</v>
      </c>
      <c r="E59" s="217" t="s">
        <v>292</v>
      </c>
      <c r="F59" s="218">
        <v>8221.42</v>
      </c>
      <c r="G59" s="218">
        <f t="shared" si="5"/>
        <v>98657.040000000008</v>
      </c>
      <c r="H59" s="194" t="s">
        <v>267</v>
      </c>
      <c r="I59" s="195">
        <v>15000</v>
      </c>
      <c r="J59" s="195">
        <v>23086</v>
      </c>
      <c r="K59" s="196">
        <v>30000</v>
      </c>
      <c r="L59" s="197">
        <v>297175.94</v>
      </c>
      <c r="M59" s="198">
        <f t="shared" si="6"/>
        <v>98657.040000000008</v>
      </c>
      <c r="N59" s="199">
        <v>39221.85</v>
      </c>
      <c r="O59" s="200">
        <f t="shared" si="7"/>
        <v>53491.669200000004</v>
      </c>
      <c r="P59" s="201">
        <v>6057.27</v>
      </c>
      <c r="Q59" s="191">
        <v>1838</v>
      </c>
      <c r="R59" s="314" t="s">
        <v>560</v>
      </c>
      <c r="S59" s="253">
        <v>307313.94</v>
      </c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</row>
    <row r="60" spans="1:51" x14ac:dyDescent="0.3">
      <c r="A60" s="217" t="s">
        <v>227</v>
      </c>
      <c r="B60" s="217" t="s">
        <v>304</v>
      </c>
      <c r="C60" s="2" t="s">
        <v>619</v>
      </c>
      <c r="D60" s="271" t="s">
        <v>283</v>
      </c>
      <c r="E60" s="217" t="s">
        <v>292</v>
      </c>
      <c r="F60" s="218">
        <v>8221.42</v>
      </c>
      <c r="G60" s="218">
        <f t="shared" si="5"/>
        <v>98657.040000000008</v>
      </c>
      <c r="H60" s="194" t="s">
        <v>267</v>
      </c>
      <c r="I60" s="195">
        <v>3000</v>
      </c>
      <c r="J60" s="195">
        <v>1646</v>
      </c>
      <c r="K60" s="196">
        <v>5000</v>
      </c>
      <c r="L60" s="197">
        <v>297175.94</v>
      </c>
      <c r="M60" s="198">
        <f t="shared" si="6"/>
        <v>98657.040000000008</v>
      </c>
      <c r="N60" s="199">
        <v>39221.85</v>
      </c>
      <c r="O60" s="200">
        <f t="shared" si="7"/>
        <v>53491.669200000004</v>
      </c>
      <c r="P60" s="201">
        <v>6057.27</v>
      </c>
      <c r="Q60" s="191">
        <v>1838</v>
      </c>
      <c r="R60" s="314" t="s">
        <v>561</v>
      </c>
      <c r="S60" s="253">
        <v>307313.94</v>
      </c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</row>
    <row r="61" spans="1:51" x14ac:dyDescent="0.3">
      <c r="A61" s="217" t="s">
        <v>305</v>
      </c>
      <c r="B61" s="217" t="s">
        <v>306</v>
      </c>
      <c r="C61" s="2" t="s">
        <v>615</v>
      </c>
      <c r="D61" s="271" t="s">
        <v>41</v>
      </c>
      <c r="E61" s="217" t="s">
        <v>292</v>
      </c>
      <c r="F61" s="218">
        <v>8221.42</v>
      </c>
      <c r="G61" s="218">
        <f t="shared" si="5"/>
        <v>98657.040000000008</v>
      </c>
      <c r="H61" s="194" t="s">
        <v>267</v>
      </c>
      <c r="I61" s="195">
        <v>10000</v>
      </c>
      <c r="J61" s="195">
        <v>12980</v>
      </c>
      <c r="K61" s="196">
        <v>15000</v>
      </c>
      <c r="L61" s="197">
        <v>297175.94</v>
      </c>
      <c r="M61" s="198">
        <f t="shared" si="6"/>
        <v>98657.040000000008</v>
      </c>
      <c r="N61" s="199">
        <v>39221.85</v>
      </c>
      <c r="O61" s="200">
        <f t="shared" si="7"/>
        <v>53491.669200000004</v>
      </c>
      <c r="P61" s="201">
        <v>6057.27</v>
      </c>
      <c r="Q61" s="191">
        <v>1838</v>
      </c>
      <c r="R61" s="314" t="s">
        <v>562</v>
      </c>
      <c r="S61" s="253">
        <v>307313.94</v>
      </c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</row>
    <row r="62" spans="1:51" x14ac:dyDescent="0.3">
      <c r="A62" s="217" t="s">
        <v>228</v>
      </c>
      <c r="B62" s="217" t="s">
        <v>307</v>
      </c>
      <c r="C62" s="2" t="s">
        <v>600</v>
      </c>
      <c r="D62" s="271" t="s">
        <v>39</v>
      </c>
      <c r="E62" s="217" t="s">
        <v>292</v>
      </c>
      <c r="F62" s="218">
        <v>8221.42</v>
      </c>
      <c r="G62" s="218">
        <f t="shared" si="5"/>
        <v>98657.040000000008</v>
      </c>
      <c r="H62" s="194" t="s">
        <v>267</v>
      </c>
      <c r="I62" s="195">
        <v>12000</v>
      </c>
      <c r="J62" s="195">
        <v>8992</v>
      </c>
      <c r="K62" s="196">
        <v>10000</v>
      </c>
      <c r="L62" s="197">
        <v>297175.94</v>
      </c>
      <c r="M62" s="198">
        <f t="shared" si="6"/>
        <v>98657.040000000008</v>
      </c>
      <c r="N62" s="199">
        <v>39221.85</v>
      </c>
      <c r="O62" s="200">
        <f t="shared" si="7"/>
        <v>53491.669200000004</v>
      </c>
      <c r="P62" s="201">
        <v>6057.27</v>
      </c>
      <c r="Q62" s="191">
        <v>1838</v>
      </c>
      <c r="R62" s="314" t="s">
        <v>563</v>
      </c>
      <c r="S62" s="253">
        <v>307313.94</v>
      </c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</row>
    <row r="63" spans="1:51" x14ac:dyDescent="0.3">
      <c r="A63" s="217" t="s">
        <v>229</v>
      </c>
      <c r="B63" s="217" t="s">
        <v>308</v>
      </c>
      <c r="C63" s="2" t="s">
        <v>609</v>
      </c>
      <c r="D63" s="270" t="s">
        <v>92</v>
      </c>
      <c r="E63" s="217" t="s">
        <v>292</v>
      </c>
      <c r="F63" s="218">
        <v>8221.42</v>
      </c>
      <c r="G63" s="218">
        <f t="shared" si="5"/>
        <v>98657.040000000008</v>
      </c>
      <c r="H63" s="194" t="s">
        <v>267</v>
      </c>
      <c r="I63" s="195">
        <v>2500</v>
      </c>
      <c r="J63" s="195">
        <v>11347</v>
      </c>
      <c r="K63" s="196">
        <v>15000</v>
      </c>
      <c r="L63" s="197">
        <v>297175.94</v>
      </c>
      <c r="M63" s="198">
        <f t="shared" si="6"/>
        <v>98657.040000000008</v>
      </c>
      <c r="N63" s="199">
        <v>39221.85</v>
      </c>
      <c r="O63" s="200">
        <f t="shared" si="7"/>
        <v>53491.669200000004</v>
      </c>
      <c r="P63" s="201">
        <v>6057.27</v>
      </c>
      <c r="Q63" s="191">
        <v>1838</v>
      </c>
      <c r="R63" s="314" t="s">
        <v>564</v>
      </c>
      <c r="S63" s="253">
        <v>307313.94</v>
      </c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</row>
    <row r="64" spans="1:51" x14ac:dyDescent="0.3">
      <c r="A64" s="217" t="s">
        <v>230</v>
      </c>
      <c r="B64" s="217" t="s">
        <v>309</v>
      </c>
      <c r="C64" s="2" t="s">
        <v>619</v>
      </c>
      <c r="D64" s="270" t="s">
        <v>283</v>
      </c>
      <c r="E64" s="217" t="s">
        <v>292</v>
      </c>
      <c r="F64" s="218">
        <v>8221.42</v>
      </c>
      <c r="G64" s="218">
        <f t="shared" si="5"/>
        <v>98657.040000000008</v>
      </c>
      <c r="H64" s="194" t="s">
        <v>267</v>
      </c>
      <c r="I64" s="195">
        <v>10000</v>
      </c>
      <c r="J64" s="195">
        <v>5660</v>
      </c>
      <c r="K64" s="196">
        <v>10000</v>
      </c>
      <c r="L64" s="197">
        <v>297175.94</v>
      </c>
      <c r="M64" s="198">
        <f t="shared" si="6"/>
        <v>98657.040000000008</v>
      </c>
      <c r="N64" s="199">
        <v>39221.85</v>
      </c>
      <c r="O64" s="200">
        <f t="shared" si="7"/>
        <v>53491.669200000004</v>
      </c>
      <c r="P64" s="201">
        <v>6057.27</v>
      </c>
      <c r="Q64" s="191">
        <v>1838</v>
      </c>
      <c r="R64" s="317" t="s">
        <v>1424</v>
      </c>
      <c r="S64" s="254">
        <v>307313.94</v>
      </c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</row>
    <row r="65" spans="1:51" x14ac:dyDescent="0.3">
      <c r="A65" s="217" t="s">
        <v>316</v>
      </c>
      <c r="B65" s="217" t="s">
        <v>317</v>
      </c>
      <c r="C65" s="2" t="s">
        <v>609</v>
      </c>
      <c r="D65" s="271" t="s">
        <v>92</v>
      </c>
      <c r="E65" s="217" t="s">
        <v>292</v>
      </c>
      <c r="F65" s="218">
        <v>8221.42</v>
      </c>
      <c r="G65" s="218">
        <f t="shared" si="5"/>
        <v>98657.040000000008</v>
      </c>
      <c r="H65" s="194" t="s">
        <v>267</v>
      </c>
      <c r="I65" s="195">
        <v>12000</v>
      </c>
      <c r="J65" s="195">
        <v>7306</v>
      </c>
      <c r="K65" s="196">
        <v>10000</v>
      </c>
      <c r="L65" s="197">
        <v>297175.94</v>
      </c>
      <c r="M65" s="198">
        <f t="shared" si="6"/>
        <v>98657.040000000008</v>
      </c>
      <c r="N65" s="199">
        <v>39221.85</v>
      </c>
      <c r="O65" s="200">
        <f t="shared" si="7"/>
        <v>53491.669200000004</v>
      </c>
      <c r="P65" s="201">
        <v>6057.27</v>
      </c>
      <c r="Q65" s="191">
        <v>1838</v>
      </c>
      <c r="R65" s="314" t="s">
        <v>565</v>
      </c>
      <c r="S65" s="253">
        <v>307313.94</v>
      </c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</row>
    <row r="66" spans="1:51" x14ac:dyDescent="0.3">
      <c r="A66" s="217" t="s">
        <v>318</v>
      </c>
      <c r="B66" s="217" t="s">
        <v>319</v>
      </c>
      <c r="C66" s="2" t="s">
        <v>615</v>
      </c>
      <c r="D66" s="269" t="s">
        <v>41</v>
      </c>
      <c r="E66" s="217" t="s">
        <v>292</v>
      </c>
      <c r="F66" s="218">
        <v>8221.42</v>
      </c>
      <c r="G66" s="218">
        <f t="shared" ref="G66:G89" si="8">+F66*12</f>
        <v>98657.040000000008</v>
      </c>
      <c r="H66" s="194" t="s">
        <v>267</v>
      </c>
      <c r="I66" s="195">
        <v>9000</v>
      </c>
      <c r="J66" s="195">
        <v>7542</v>
      </c>
      <c r="K66" s="196">
        <v>10000</v>
      </c>
      <c r="L66" s="197">
        <v>297175.94</v>
      </c>
      <c r="M66" s="198">
        <f t="shared" ref="M66:M89" si="9">+F66*12</f>
        <v>98657.040000000008</v>
      </c>
      <c r="N66" s="199">
        <v>39221.85</v>
      </c>
      <c r="O66" s="200">
        <f t="shared" ref="O66:O100" si="10">+L66*0.9/5</f>
        <v>53491.669200000004</v>
      </c>
      <c r="P66" s="201">
        <v>6057.27</v>
      </c>
      <c r="Q66" s="191">
        <v>1838</v>
      </c>
      <c r="R66" s="314" t="s">
        <v>566</v>
      </c>
      <c r="S66" s="253">
        <v>307313.94</v>
      </c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</row>
    <row r="67" spans="1:51" x14ac:dyDescent="0.3">
      <c r="A67" s="217" t="s">
        <v>320</v>
      </c>
      <c r="B67" s="217" t="s">
        <v>321</v>
      </c>
      <c r="C67" s="2" t="s">
        <v>619</v>
      </c>
      <c r="D67" s="272" t="s">
        <v>283</v>
      </c>
      <c r="E67" s="217" t="s">
        <v>292</v>
      </c>
      <c r="F67" s="218">
        <v>8221.42</v>
      </c>
      <c r="G67" s="218">
        <f t="shared" si="8"/>
        <v>98657.040000000008</v>
      </c>
      <c r="H67" s="194" t="s">
        <v>267</v>
      </c>
      <c r="I67" s="195">
        <v>15000</v>
      </c>
      <c r="J67" s="195">
        <v>0</v>
      </c>
      <c r="K67" s="196">
        <v>15000</v>
      </c>
      <c r="L67" s="197">
        <v>297175.94</v>
      </c>
      <c r="M67" s="198">
        <f t="shared" si="9"/>
        <v>98657.040000000008</v>
      </c>
      <c r="N67" s="199">
        <v>39221.85</v>
      </c>
      <c r="O67" s="200">
        <f t="shared" si="10"/>
        <v>53491.669200000004</v>
      </c>
      <c r="P67" s="201">
        <v>6057.27</v>
      </c>
      <c r="Q67" s="191">
        <v>1838</v>
      </c>
      <c r="R67" s="314" t="s">
        <v>567</v>
      </c>
      <c r="S67" s="253">
        <v>307313.94</v>
      </c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</row>
    <row r="68" spans="1:51" x14ac:dyDescent="0.3">
      <c r="A68" s="217" t="s">
        <v>322</v>
      </c>
      <c r="B68" s="217" t="s">
        <v>323</v>
      </c>
      <c r="C68" s="2" t="s">
        <v>600</v>
      </c>
      <c r="D68" s="273" t="s">
        <v>39</v>
      </c>
      <c r="E68" s="217" t="s">
        <v>292</v>
      </c>
      <c r="F68" s="218">
        <v>8221.42</v>
      </c>
      <c r="G68" s="218">
        <f t="shared" si="8"/>
        <v>98657.040000000008</v>
      </c>
      <c r="H68" s="194" t="s">
        <v>267</v>
      </c>
      <c r="I68" s="195">
        <v>25000</v>
      </c>
      <c r="J68" s="195">
        <v>16190</v>
      </c>
      <c r="K68" s="196">
        <v>20000</v>
      </c>
      <c r="L68" s="197">
        <v>297175.94</v>
      </c>
      <c r="M68" s="198">
        <f t="shared" si="9"/>
        <v>98657.040000000008</v>
      </c>
      <c r="N68" s="199">
        <v>39221.85</v>
      </c>
      <c r="O68" s="200">
        <f t="shared" si="10"/>
        <v>53491.669200000004</v>
      </c>
      <c r="P68" s="201">
        <v>6057.27</v>
      </c>
      <c r="Q68" s="191">
        <v>1838</v>
      </c>
      <c r="R68" s="314" t="s">
        <v>1425</v>
      </c>
      <c r="S68" s="253">
        <v>307313.94</v>
      </c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</row>
    <row r="69" spans="1:51" x14ac:dyDescent="0.3">
      <c r="A69" s="217" t="s">
        <v>330</v>
      </c>
      <c r="B69" s="217" t="s">
        <v>331</v>
      </c>
      <c r="C69" s="2" t="s">
        <v>613</v>
      </c>
      <c r="D69" s="270" t="s">
        <v>40</v>
      </c>
      <c r="E69" s="217" t="s">
        <v>292</v>
      </c>
      <c r="F69" s="218">
        <v>8221.42</v>
      </c>
      <c r="G69" s="218">
        <f t="shared" si="8"/>
        <v>98657.040000000008</v>
      </c>
      <c r="H69" s="194" t="s">
        <v>267</v>
      </c>
      <c r="I69" s="195">
        <v>5000</v>
      </c>
      <c r="J69" s="195">
        <v>3477</v>
      </c>
      <c r="K69" s="196">
        <v>8000</v>
      </c>
      <c r="L69" s="197">
        <v>297175.94</v>
      </c>
      <c r="M69" s="198">
        <f t="shared" si="9"/>
        <v>98657.040000000008</v>
      </c>
      <c r="N69" s="199">
        <v>39221.85</v>
      </c>
      <c r="O69" s="200">
        <f t="shared" si="10"/>
        <v>53491.669200000004</v>
      </c>
      <c r="P69" s="201">
        <v>6057.27</v>
      </c>
      <c r="Q69" s="191">
        <v>1838</v>
      </c>
      <c r="R69" s="314" t="s">
        <v>568</v>
      </c>
      <c r="S69" s="253">
        <v>307313.94</v>
      </c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</row>
    <row r="70" spans="1:51" x14ac:dyDescent="0.3">
      <c r="A70" s="217" t="s">
        <v>336</v>
      </c>
      <c r="B70" s="217" t="s">
        <v>337</v>
      </c>
      <c r="C70" s="2" t="s">
        <v>600</v>
      </c>
      <c r="D70" s="270" t="s">
        <v>39</v>
      </c>
      <c r="E70" s="217" t="s">
        <v>292</v>
      </c>
      <c r="F70" s="218">
        <v>8221.42</v>
      </c>
      <c r="G70" s="218">
        <f t="shared" si="8"/>
        <v>98657.040000000008</v>
      </c>
      <c r="H70" s="194" t="s">
        <v>267</v>
      </c>
      <c r="I70" s="195">
        <v>6000</v>
      </c>
      <c r="J70" s="195">
        <v>10546</v>
      </c>
      <c r="K70" s="196">
        <v>15000</v>
      </c>
      <c r="L70" s="197">
        <v>297175.94</v>
      </c>
      <c r="M70" s="198">
        <f t="shared" si="9"/>
        <v>98657.040000000008</v>
      </c>
      <c r="N70" s="199">
        <v>39221.85</v>
      </c>
      <c r="O70" s="200">
        <f t="shared" si="10"/>
        <v>53491.669200000004</v>
      </c>
      <c r="P70" s="201">
        <v>6057.27</v>
      </c>
      <c r="Q70" s="191">
        <v>1838</v>
      </c>
      <c r="R70" s="314" t="s">
        <v>569</v>
      </c>
      <c r="S70" s="253">
        <v>307313.94</v>
      </c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</row>
    <row r="71" spans="1:51" x14ac:dyDescent="0.3">
      <c r="A71" s="217" t="s">
        <v>398</v>
      </c>
      <c r="B71" s="217" t="s">
        <v>397</v>
      </c>
      <c r="C71" s="2" t="s">
        <v>619</v>
      </c>
      <c r="D71" s="273" t="s">
        <v>283</v>
      </c>
      <c r="E71" s="217" t="s">
        <v>292</v>
      </c>
      <c r="F71" s="218">
        <v>8221.42</v>
      </c>
      <c r="G71" s="218">
        <f t="shared" si="8"/>
        <v>98657.040000000008</v>
      </c>
      <c r="H71" s="194" t="s">
        <v>267</v>
      </c>
      <c r="I71" s="195">
        <v>20000</v>
      </c>
      <c r="J71" s="195">
        <v>0</v>
      </c>
      <c r="K71" s="196">
        <v>20000</v>
      </c>
      <c r="L71" s="197">
        <v>297175.94</v>
      </c>
      <c r="M71" s="198">
        <f t="shared" si="9"/>
        <v>98657.040000000008</v>
      </c>
      <c r="N71" s="199">
        <v>39221.85</v>
      </c>
      <c r="O71" s="200">
        <f t="shared" si="10"/>
        <v>53491.669200000004</v>
      </c>
      <c r="P71" s="201">
        <v>6057.27</v>
      </c>
      <c r="Q71" s="191">
        <v>1838</v>
      </c>
      <c r="R71" s="314" t="s">
        <v>641</v>
      </c>
      <c r="S71" s="253">
        <v>307313.94</v>
      </c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</row>
    <row r="72" spans="1:51" x14ac:dyDescent="0.3">
      <c r="A72" s="217" t="s">
        <v>399</v>
      </c>
      <c r="B72" s="217" t="s">
        <v>397</v>
      </c>
      <c r="C72" s="2" t="s">
        <v>619</v>
      </c>
      <c r="D72" s="273" t="s">
        <v>283</v>
      </c>
      <c r="E72" s="217" t="s">
        <v>292</v>
      </c>
      <c r="F72" s="218">
        <v>8221.42</v>
      </c>
      <c r="G72" s="218">
        <f t="shared" si="8"/>
        <v>98657.040000000008</v>
      </c>
      <c r="H72" s="194" t="s">
        <v>267</v>
      </c>
      <c r="I72" s="195">
        <v>20000</v>
      </c>
      <c r="J72" s="195">
        <v>0</v>
      </c>
      <c r="K72" s="196">
        <v>20000</v>
      </c>
      <c r="L72" s="197">
        <v>297175.94</v>
      </c>
      <c r="M72" s="198">
        <f t="shared" si="9"/>
        <v>98657.040000000008</v>
      </c>
      <c r="N72" s="199">
        <v>39221.85</v>
      </c>
      <c r="O72" s="200">
        <f t="shared" si="10"/>
        <v>53491.669200000004</v>
      </c>
      <c r="P72" s="201">
        <v>6057.27</v>
      </c>
      <c r="Q72" s="191">
        <v>1838</v>
      </c>
      <c r="R72" s="314" t="s">
        <v>1426</v>
      </c>
      <c r="S72" s="253">
        <v>307313.94</v>
      </c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</row>
    <row r="73" spans="1:51" x14ac:dyDescent="0.3">
      <c r="A73" s="217" t="s">
        <v>400</v>
      </c>
      <c r="B73" s="217" t="s">
        <v>397</v>
      </c>
      <c r="C73" s="2" t="s">
        <v>619</v>
      </c>
      <c r="D73" s="273" t="s">
        <v>283</v>
      </c>
      <c r="E73" s="217" t="s">
        <v>292</v>
      </c>
      <c r="F73" s="218">
        <v>8221.42</v>
      </c>
      <c r="G73" s="218">
        <f t="shared" si="8"/>
        <v>98657.040000000008</v>
      </c>
      <c r="H73" s="194" t="s">
        <v>267</v>
      </c>
      <c r="I73" s="195">
        <v>20000</v>
      </c>
      <c r="J73" s="195">
        <v>0</v>
      </c>
      <c r="K73" s="196">
        <v>20000</v>
      </c>
      <c r="L73" s="197">
        <v>297175.94</v>
      </c>
      <c r="M73" s="198">
        <f t="shared" si="9"/>
        <v>98657.040000000008</v>
      </c>
      <c r="N73" s="199">
        <v>39221.85</v>
      </c>
      <c r="O73" s="200">
        <f t="shared" si="10"/>
        <v>53491.669200000004</v>
      </c>
      <c r="P73" s="201">
        <v>6057.27</v>
      </c>
      <c r="Q73" s="191">
        <v>1838</v>
      </c>
      <c r="R73" s="314" t="s">
        <v>1427</v>
      </c>
      <c r="S73" s="253">
        <v>307313.94</v>
      </c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</row>
    <row r="74" spans="1:51" x14ac:dyDescent="0.3">
      <c r="A74" s="219" t="s">
        <v>327</v>
      </c>
      <c r="B74" s="219" t="s">
        <v>328</v>
      </c>
      <c r="C74" s="261" t="s">
        <v>616</v>
      </c>
      <c r="D74" s="270" t="s">
        <v>41</v>
      </c>
      <c r="E74" s="219" t="s">
        <v>329</v>
      </c>
      <c r="F74" s="220">
        <v>10212.11</v>
      </c>
      <c r="G74" s="220">
        <f t="shared" si="8"/>
        <v>122545.32</v>
      </c>
      <c r="H74" s="194" t="s">
        <v>267</v>
      </c>
      <c r="I74" s="195">
        <v>16000</v>
      </c>
      <c r="J74" s="195">
        <v>1258</v>
      </c>
      <c r="K74" s="196">
        <v>5000</v>
      </c>
      <c r="L74" s="197">
        <v>330991</v>
      </c>
      <c r="M74" s="198">
        <f t="shared" si="9"/>
        <v>122545.32</v>
      </c>
      <c r="N74" s="199">
        <v>56347.12</v>
      </c>
      <c r="O74" s="200">
        <f t="shared" si="10"/>
        <v>59578.380000000005</v>
      </c>
      <c r="P74" s="201">
        <v>6057.27</v>
      </c>
      <c r="Q74" s="191">
        <v>1838</v>
      </c>
      <c r="R74" s="315" t="s">
        <v>1435</v>
      </c>
      <c r="S74" s="254">
        <v>392555.92</v>
      </c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</row>
    <row r="75" spans="1:51" x14ac:dyDescent="0.3">
      <c r="A75" s="221" t="s">
        <v>231</v>
      </c>
      <c r="B75" s="221" t="s">
        <v>302</v>
      </c>
      <c r="C75" s="262" t="s">
        <v>620</v>
      </c>
      <c r="D75" s="271" t="s">
        <v>283</v>
      </c>
      <c r="E75" s="221" t="s">
        <v>303</v>
      </c>
      <c r="F75" s="222">
        <v>9227.8799999999992</v>
      </c>
      <c r="G75" s="222">
        <f t="shared" si="8"/>
        <v>110734.56</v>
      </c>
      <c r="H75" s="194" t="s">
        <v>267</v>
      </c>
      <c r="I75" s="195">
        <v>800</v>
      </c>
      <c r="J75" s="195">
        <v>5094</v>
      </c>
      <c r="K75" s="196">
        <v>10000</v>
      </c>
      <c r="L75" s="197">
        <v>347126.5</v>
      </c>
      <c r="M75" s="198">
        <f t="shared" si="9"/>
        <v>110734.56</v>
      </c>
      <c r="N75" s="199">
        <v>41309.26</v>
      </c>
      <c r="O75" s="200">
        <f t="shared" si="10"/>
        <v>62482.770000000004</v>
      </c>
      <c r="P75" s="201">
        <v>6057.27</v>
      </c>
      <c r="Q75" s="191">
        <v>1838</v>
      </c>
      <c r="R75" s="314" t="s">
        <v>642</v>
      </c>
      <c r="S75" s="253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</row>
    <row r="76" spans="1:51" x14ac:dyDescent="0.3">
      <c r="A76" s="221" t="s">
        <v>232</v>
      </c>
      <c r="B76" s="221" t="s">
        <v>315</v>
      </c>
      <c r="C76" s="262" t="s">
        <v>620</v>
      </c>
      <c r="D76" s="271" t="s">
        <v>283</v>
      </c>
      <c r="E76" s="221" t="s">
        <v>303</v>
      </c>
      <c r="F76" s="222">
        <v>9227.8799999999992</v>
      </c>
      <c r="G76" s="222">
        <f t="shared" si="8"/>
        <v>110734.56</v>
      </c>
      <c r="H76" s="194" t="s">
        <v>267</v>
      </c>
      <c r="I76" s="195">
        <v>10000</v>
      </c>
      <c r="J76" s="195">
        <v>4946</v>
      </c>
      <c r="K76" s="196">
        <v>8000</v>
      </c>
      <c r="L76" s="197">
        <v>347126.5</v>
      </c>
      <c r="M76" s="198">
        <f t="shared" si="9"/>
        <v>110734.56</v>
      </c>
      <c r="N76" s="199">
        <v>41309.26</v>
      </c>
      <c r="O76" s="200">
        <f t="shared" si="10"/>
        <v>62482.770000000004</v>
      </c>
      <c r="P76" s="201">
        <v>6057.27</v>
      </c>
      <c r="Q76" s="191">
        <v>1838</v>
      </c>
      <c r="R76" s="314" t="s">
        <v>643</v>
      </c>
      <c r="S76" s="253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</row>
    <row r="77" spans="1:51" x14ac:dyDescent="0.3">
      <c r="A77" s="223" t="s">
        <v>365</v>
      </c>
      <c r="B77" s="223" t="s">
        <v>366</v>
      </c>
      <c r="C77" s="2" t="s">
        <v>617</v>
      </c>
      <c r="D77" s="271" t="s">
        <v>256</v>
      </c>
      <c r="E77" s="223" t="s">
        <v>270</v>
      </c>
      <c r="F77" s="224">
        <v>12140.7</v>
      </c>
      <c r="G77" s="224">
        <f t="shared" si="8"/>
        <v>145688.40000000002</v>
      </c>
      <c r="H77" s="194" t="s">
        <v>288</v>
      </c>
      <c r="I77" s="195">
        <v>15000</v>
      </c>
      <c r="J77" s="195">
        <v>14844</v>
      </c>
      <c r="K77" s="196">
        <v>20000</v>
      </c>
      <c r="L77" s="197">
        <v>446281.03</v>
      </c>
      <c r="M77" s="198">
        <f t="shared" si="9"/>
        <v>145688.40000000002</v>
      </c>
      <c r="N77" s="199">
        <v>56432.19</v>
      </c>
      <c r="O77" s="200">
        <f t="shared" si="10"/>
        <v>80330.585400000011</v>
      </c>
      <c r="P77" s="201">
        <v>6057.27</v>
      </c>
      <c r="Q77" s="191">
        <f>3166+36</f>
        <v>3202</v>
      </c>
      <c r="R77" s="314" t="s">
        <v>570</v>
      </c>
      <c r="S77" s="253">
        <v>460673.37</v>
      </c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</row>
    <row r="78" spans="1:51" x14ac:dyDescent="0.3">
      <c r="A78" s="223" t="s">
        <v>367</v>
      </c>
      <c r="B78" s="223" t="s">
        <v>368</v>
      </c>
      <c r="C78" s="2" t="s">
        <v>617</v>
      </c>
      <c r="D78" s="271" t="s">
        <v>256</v>
      </c>
      <c r="E78" s="223" t="s">
        <v>270</v>
      </c>
      <c r="F78" s="224">
        <v>12140.7</v>
      </c>
      <c r="G78" s="224">
        <f t="shared" si="8"/>
        <v>145688.40000000002</v>
      </c>
      <c r="H78" s="194" t="s">
        <v>288</v>
      </c>
      <c r="I78" s="195">
        <v>36000</v>
      </c>
      <c r="J78" s="195">
        <v>470</v>
      </c>
      <c r="K78" s="196">
        <v>5000</v>
      </c>
      <c r="L78" s="197">
        <v>446281.03</v>
      </c>
      <c r="M78" s="198">
        <f t="shared" si="9"/>
        <v>145688.40000000002</v>
      </c>
      <c r="N78" s="199">
        <v>56432.19</v>
      </c>
      <c r="O78" s="200">
        <f t="shared" si="10"/>
        <v>80330.585400000011</v>
      </c>
      <c r="P78" s="201">
        <v>6057.27</v>
      </c>
      <c r="Q78" s="191">
        <f>3166+36</f>
        <v>3202</v>
      </c>
      <c r="R78" s="314" t="s">
        <v>571</v>
      </c>
      <c r="S78" s="253">
        <v>460673.37</v>
      </c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</row>
    <row r="79" spans="1:51" x14ac:dyDescent="0.3">
      <c r="A79" s="223" t="s">
        <v>369</v>
      </c>
      <c r="B79" s="223" t="s">
        <v>370</v>
      </c>
      <c r="C79" s="2" t="s">
        <v>617</v>
      </c>
      <c r="D79" s="271" t="s">
        <v>256</v>
      </c>
      <c r="E79" s="223" t="s">
        <v>270</v>
      </c>
      <c r="F79" s="224">
        <v>12140.7</v>
      </c>
      <c r="G79" s="224">
        <f t="shared" si="8"/>
        <v>145688.40000000002</v>
      </c>
      <c r="H79" s="194" t="s">
        <v>288</v>
      </c>
      <c r="I79" s="195">
        <v>36000</v>
      </c>
      <c r="J79" s="195">
        <v>12594</v>
      </c>
      <c r="K79" s="196">
        <v>15000</v>
      </c>
      <c r="L79" s="197">
        <v>446281.03</v>
      </c>
      <c r="M79" s="198">
        <f t="shared" si="9"/>
        <v>145688.40000000002</v>
      </c>
      <c r="N79" s="199">
        <v>56432.19</v>
      </c>
      <c r="O79" s="200">
        <f t="shared" si="10"/>
        <v>80330.585400000011</v>
      </c>
      <c r="P79" s="201">
        <v>6057.27</v>
      </c>
      <c r="Q79" s="191">
        <f>3166+36</f>
        <v>3202</v>
      </c>
      <c r="R79" s="314" t="s">
        <v>572</v>
      </c>
      <c r="S79" s="253">
        <v>460673.37</v>
      </c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</row>
    <row r="80" spans="1:51" x14ac:dyDescent="0.3">
      <c r="A80" s="225" t="s">
        <v>333</v>
      </c>
      <c r="B80" s="225" t="s">
        <v>334</v>
      </c>
      <c r="C80" s="263" t="s">
        <v>601</v>
      </c>
      <c r="D80" s="271" t="s">
        <v>39</v>
      </c>
      <c r="E80" s="225" t="s">
        <v>335</v>
      </c>
      <c r="F80" s="226">
        <v>13295.81</v>
      </c>
      <c r="G80" s="226">
        <f t="shared" si="8"/>
        <v>159549.72</v>
      </c>
      <c r="H80" s="194" t="s">
        <v>267</v>
      </c>
      <c r="I80" s="195">
        <v>15000</v>
      </c>
      <c r="J80" s="195">
        <v>6513</v>
      </c>
      <c r="K80" s="196">
        <v>10000</v>
      </c>
      <c r="L80" s="197">
        <v>546796.32999999996</v>
      </c>
      <c r="M80" s="198">
        <f t="shared" si="9"/>
        <v>159549.72</v>
      </c>
      <c r="N80" s="199">
        <v>50190.45</v>
      </c>
      <c r="O80" s="200">
        <f t="shared" si="10"/>
        <v>98423.339399999997</v>
      </c>
      <c r="P80" s="201">
        <v>6057.27</v>
      </c>
      <c r="Q80" s="191">
        <f t="shared" ref="Q80:Q89" si="11">5248+36</f>
        <v>5284</v>
      </c>
      <c r="R80" s="314" t="s">
        <v>573</v>
      </c>
      <c r="S80" s="253">
        <v>546295.24</v>
      </c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</row>
    <row r="81" spans="1:51" x14ac:dyDescent="0.3">
      <c r="A81" s="225" t="s">
        <v>394</v>
      </c>
      <c r="B81" s="225" t="s">
        <v>395</v>
      </c>
      <c r="C81" s="263" t="s">
        <v>601</v>
      </c>
      <c r="D81" s="272" t="s">
        <v>39</v>
      </c>
      <c r="E81" s="225" t="s">
        <v>335</v>
      </c>
      <c r="F81" s="226">
        <v>13295.81</v>
      </c>
      <c r="G81" s="226">
        <f t="shared" si="8"/>
        <v>159549.72</v>
      </c>
      <c r="H81" s="194" t="s">
        <v>267</v>
      </c>
      <c r="I81" s="195">
        <v>20000</v>
      </c>
      <c r="J81" s="195">
        <v>0</v>
      </c>
      <c r="K81" s="196">
        <v>15000</v>
      </c>
      <c r="L81" s="197">
        <v>546796.32999999996</v>
      </c>
      <c r="M81" s="198">
        <f t="shared" si="9"/>
        <v>159549.72</v>
      </c>
      <c r="N81" s="199">
        <v>50190.45</v>
      </c>
      <c r="O81" s="200">
        <f t="shared" si="10"/>
        <v>98423.339399999997</v>
      </c>
      <c r="P81" s="201">
        <v>6057.27</v>
      </c>
      <c r="Q81" s="191">
        <f t="shared" si="11"/>
        <v>5284</v>
      </c>
      <c r="R81" s="314" t="s">
        <v>574</v>
      </c>
      <c r="S81" s="255">
        <v>546295.24</v>
      </c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</row>
    <row r="82" spans="1:51" x14ac:dyDescent="0.3">
      <c r="A82" s="194" t="s">
        <v>396</v>
      </c>
      <c r="B82" s="194"/>
      <c r="C82" s="263" t="s">
        <v>601</v>
      </c>
      <c r="D82" s="270" t="s">
        <v>39</v>
      </c>
      <c r="E82" s="225" t="s">
        <v>335</v>
      </c>
      <c r="F82" s="226">
        <v>13296.81</v>
      </c>
      <c r="G82" s="226">
        <f t="shared" si="8"/>
        <v>159561.72</v>
      </c>
      <c r="H82" s="194" t="s">
        <v>267</v>
      </c>
      <c r="I82" s="195">
        <v>20000</v>
      </c>
      <c r="J82" s="195">
        <v>0</v>
      </c>
      <c r="K82" s="196">
        <v>20000</v>
      </c>
      <c r="L82" s="197">
        <v>546796.32999999996</v>
      </c>
      <c r="M82" s="198">
        <f t="shared" si="9"/>
        <v>159561.72</v>
      </c>
      <c r="N82" s="199">
        <v>50190.45</v>
      </c>
      <c r="O82" s="200">
        <f t="shared" si="10"/>
        <v>98423.339399999997</v>
      </c>
      <c r="P82" s="201">
        <v>6057.27</v>
      </c>
      <c r="Q82" s="191">
        <f t="shared" si="11"/>
        <v>5284</v>
      </c>
      <c r="R82" s="314" t="s">
        <v>644</v>
      </c>
      <c r="S82" s="257">
        <v>546295.24</v>
      </c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</row>
    <row r="83" spans="1:51" x14ac:dyDescent="0.3">
      <c r="A83" s="227" t="s">
        <v>234</v>
      </c>
      <c r="B83" s="227" t="s">
        <v>313</v>
      </c>
      <c r="C83" s="2" t="s">
        <v>639</v>
      </c>
      <c r="D83" s="271" t="s">
        <v>283</v>
      </c>
      <c r="E83" s="227" t="s">
        <v>314</v>
      </c>
      <c r="F83" s="228">
        <v>13260.01</v>
      </c>
      <c r="G83" s="228">
        <f t="shared" si="8"/>
        <v>159120.12</v>
      </c>
      <c r="H83" s="194" t="s">
        <v>267</v>
      </c>
      <c r="I83" s="195">
        <v>16000</v>
      </c>
      <c r="J83" s="195">
        <v>7998</v>
      </c>
      <c r="K83" s="196">
        <v>10000</v>
      </c>
      <c r="L83" s="197">
        <v>599155</v>
      </c>
      <c r="M83" s="198">
        <f t="shared" si="9"/>
        <v>159120.12</v>
      </c>
      <c r="N83" s="199">
        <v>39289.120000000003</v>
      </c>
      <c r="O83" s="200">
        <f t="shared" si="10"/>
        <v>107847.9</v>
      </c>
      <c r="P83" s="201">
        <v>6057.27</v>
      </c>
      <c r="Q83" s="191">
        <f t="shared" si="11"/>
        <v>5284</v>
      </c>
      <c r="R83" s="317" t="s">
        <v>575</v>
      </c>
      <c r="S83" s="253">
        <v>606965.84</v>
      </c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</row>
    <row r="84" spans="1:51" x14ac:dyDescent="0.3">
      <c r="A84" s="229" t="s">
        <v>235</v>
      </c>
      <c r="B84" s="229" t="s">
        <v>310</v>
      </c>
      <c r="C84" s="2" t="s">
        <v>640</v>
      </c>
      <c r="D84" s="271" t="s">
        <v>39</v>
      </c>
      <c r="E84" s="229" t="s">
        <v>311</v>
      </c>
      <c r="F84" s="230">
        <v>15645.86</v>
      </c>
      <c r="G84" s="230">
        <f t="shared" si="8"/>
        <v>187750.32</v>
      </c>
      <c r="H84" s="194" t="s">
        <v>267</v>
      </c>
      <c r="I84" s="195">
        <v>11000</v>
      </c>
      <c r="J84" s="195">
        <v>0</v>
      </c>
      <c r="K84" s="196">
        <v>15000</v>
      </c>
      <c r="L84" s="197">
        <v>663469.5</v>
      </c>
      <c r="M84" s="198">
        <f t="shared" si="9"/>
        <v>187750.32</v>
      </c>
      <c r="N84" s="199">
        <v>55056.42</v>
      </c>
      <c r="O84" s="200">
        <f t="shared" si="10"/>
        <v>119424.51000000001</v>
      </c>
      <c r="P84" s="201">
        <v>9511.2000000000007</v>
      </c>
      <c r="Q84" s="191">
        <f t="shared" si="11"/>
        <v>5284</v>
      </c>
      <c r="R84" s="317" t="s">
        <v>576</v>
      </c>
      <c r="S84" s="253">
        <v>662932.69999999995</v>
      </c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</row>
    <row r="85" spans="1:51" x14ac:dyDescent="0.3">
      <c r="A85" s="229" t="s">
        <v>236</v>
      </c>
      <c r="B85" s="229" t="s">
        <v>312</v>
      </c>
      <c r="C85" s="2" t="s">
        <v>639</v>
      </c>
      <c r="D85" s="271" t="s">
        <v>582</v>
      </c>
      <c r="E85" s="229" t="s">
        <v>311</v>
      </c>
      <c r="F85" s="230">
        <v>15645.86</v>
      </c>
      <c r="G85" s="230">
        <f t="shared" si="8"/>
        <v>187750.32</v>
      </c>
      <c r="H85" s="194" t="s">
        <v>267</v>
      </c>
      <c r="I85" s="195">
        <v>8000</v>
      </c>
      <c r="J85" s="195">
        <v>7881</v>
      </c>
      <c r="K85" s="196">
        <v>10000</v>
      </c>
      <c r="L85" s="197">
        <v>663469.5</v>
      </c>
      <c r="M85" s="198">
        <f t="shared" si="9"/>
        <v>187750.32</v>
      </c>
      <c r="N85" s="199">
        <v>55056.42</v>
      </c>
      <c r="O85" s="200">
        <f t="shared" si="10"/>
        <v>119424.51000000001</v>
      </c>
      <c r="P85" s="201">
        <v>9511.2000000000007</v>
      </c>
      <c r="Q85" s="191">
        <f t="shared" si="11"/>
        <v>5284</v>
      </c>
      <c r="R85" s="317" t="s">
        <v>645</v>
      </c>
      <c r="S85" s="253">
        <v>662932.69999999995</v>
      </c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</row>
    <row r="86" spans="1:51" x14ac:dyDescent="0.3">
      <c r="A86" s="231" t="s">
        <v>385</v>
      </c>
      <c r="B86" s="231" t="s">
        <v>386</v>
      </c>
      <c r="C86" s="264" t="s">
        <v>602</v>
      </c>
      <c r="D86" s="270" t="s">
        <v>39</v>
      </c>
      <c r="E86" s="231" t="s">
        <v>387</v>
      </c>
      <c r="F86" s="232">
        <v>12999.17</v>
      </c>
      <c r="G86" s="232">
        <f t="shared" si="8"/>
        <v>155990.04</v>
      </c>
      <c r="H86" s="194" t="s">
        <v>267</v>
      </c>
      <c r="I86" s="195">
        <v>10000</v>
      </c>
      <c r="J86" s="195">
        <v>6710</v>
      </c>
      <c r="K86" s="196">
        <v>10000</v>
      </c>
      <c r="L86" s="197">
        <v>532068</v>
      </c>
      <c r="M86" s="198">
        <f t="shared" si="9"/>
        <v>155990.04</v>
      </c>
      <c r="N86" s="199">
        <v>49576.44</v>
      </c>
      <c r="O86" s="200">
        <f t="shared" si="10"/>
        <v>95772.24</v>
      </c>
      <c r="P86" s="201">
        <v>6057.27</v>
      </c>
      <c r="Q86" s="191">
        <f t="shared" si="11"/>
        <v>5284</v>
      </c>
      <c r="R86" s="317" t="s">
        <v>1428</v>
      </c>
      <c r="S86" s="253">
        <v>532068.57999999996</v>
      </c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</row>
    <row r="87" spans="1:51" x14ac:dyDescent="0.3">
      <c r="A87" s="233" t="s">
        <v>324</v>
      </c>
      <c r="B87" s="233" t="s">
        <v>325</v>
      </c>
      <c r="C87" s="265" t="s">
        <v>611</v>
      </c>
      <c r="D87" s="260" t="s">
        <v>94</v>
      </c>
      <c r="E87" s="233" t="s">
        <v>326</v>
      </c>
      <c r="F87" s="234">
        <v>13362.3</v>
      </c>
      <c r="G87" s="234">
        <f t="shared" si="8"/>
        <v>160347.59999999998</v>
      </c>
      <c r="H87" s="194" t="s">
        <v>267</v>
      </c>
      <c r="I87" s="195">
        <v>40000</v>
      </c>
      <c r="J87" s="195">
        <v>8193</v>
      </c>
      <c r="K87" s="196">
        <v>10000</v>
      </c>
      <c r="L87" s="197">
        <v>532068</v>
      </c>
      <c r="M87" s="198">
        <f t="shared" si="9"/>
        <v>160347.59999999998</v>
      </c>
      <c r="N87" s="199">
        <v>53934</v>
      </c>
      <c r="O87" s="200">
        <f t="shared" si="10"/>
        <v>95772.24</v>
      </c>
      <c r="P87" s="201">
        <v>6057.27</v>
      </c>
      <c r="Q87" s="191">
        <f t="shared" si="11"/>
        <v>5284</v>
      </c>
      <c r="R87" s="317" t="s">
        <v>1429</v>
      </c>
      <c r="S87" s="253">
        <v>532068</v>
      </c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</row>
    <row r="88" spans="1:51" x14ac:dyDescent="0.3">
      <c r="A88" s="225" t="s">
        <v>295</v>
      </c>
      <c r="B88" s="225" t="s">
        <v>181</v>
      </c>
      <c r="C88" s="263" t="s">
        <v>610</v>
      </c>
      <c r="D88" s="274" t="s">
        <v>92</v>
      </c>
      <c r="E88" s="225" t="s">
        <v>273</v>
      </c>
      <c r="F88" s="226">
        <v>14670.23</v>
      </c>
      <c r="G88" s="226">
        <f t="shared" si="8"/>
        <v>176042.76</v>
      </c>
      <c r="H88" s="194" t="s">
        <v>267</v>
      </c>
      <c r="I88" s="195">
        <v>45000</v>
      </c>
      <c r="J88" s="195">
        <v>37489</v>
      </c>
      <c r="K88" s="196">
        <v>40000</v>
      </c>
      <c r="L88" s="197">
        <v>615032</v>
      </c>
      <c r="M88" s="198">
        <f t="shared" si="9"/>
        <v>176042.76</v>
      </c>
      <c r="N88" s="199">
        <v>53036.36</v>
      </c>
      <c r="O88" s="200">
        <f t="shared" si="10"/>
        <v>110705.76000000001</v>
      </c>
      <c r="P88" s="201">
        <v>6057.27</v>
      </c>
      <c r="Q88" s="191">
        <f t="shared" si="11"/>
        <v>5284</v>
      </c>
      <c r="R88" s="317" t="s">
        <v>1430</v>
      </c>
      <c r="S88" s="253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</row>
    <row r="89" spans="1:51" ht="13.5" thickBot="1" x14ac:dyDescent="0.35">
      <c r="A89" s="241" t="s">
        <v>296</v>
      </c>
      <c r="B89" s="241" t="s">
        <v>297</v>
      </c>
      <c r="C89" s="266" t="s">
        <v>618</v>
      </c>
      <c r="D89" s="275" t="s">
        <v>256</v>
      </c>
      <c r="E89" s="241" t="s">
        <v>275</v>
      </c>
      <c r="F89" s="242">
        <v>40000</v>
      </c>
      <c r="G89" s="242">
        <f t="shared" si="8"/>
        <v>480000</v>
      </c>
      <c r="H89" s="243" t="s">
        <v>423</v>
      </c>
      <c r="I89" s="195">
        <v>10000</v>
      </c>
      <c r="J89" s="195">
        <v>11306</v>
      </c>
      <c r="K89" s="196">
        <v>15000</v>
      </c>
      <c r="L89" s="197">
        <v>1367901.39</v>
      </c>
      <c r="M89" s="198">
        <f t="shared" si="9"/>
        <v>480000</v>
      </c>
      <c r="N89" s="199">
        <v>206419.72</v>
      </c>
      <c r="O89" s="200">
        <f t="shared" si="10"/>
        <v>246222.25019999998</v>
      </c>
      <c r="P89" s="201">
        <v>9717.98</v>
      </c>
      <c r="Q89" s="191">
        <f t="shared" si="11"/>
        <v>5284</v>
      </c>
      <c r="R89" s="317" t="s">
        <v>1431</v>
      </c>
      <c r="S89" s="253">
        <v>1406963.49</v>
      </c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</row>
    <row r="90" spans="1:51" ht="13.5" thickBot="1" x14ac:dyDescent="0.35">
      <c r="A90" s="244" t="s">
        <v>406</v>
      </c>
      <c r="B90" s="244" t="s">
        <v>397</v>
      </c>
      <c r="C90" s="251" t="s">
        <v>603</v>
      </c>
      <c r="D90" s="276" t="s">
        <v>39</v>
      </c>
      <c r="E90" s="244" t="s">
        <v>417</v>
      </c>
      <c r="F90" s="245"/>
      <c r="G90" s="245"/>
      <c r="H90" s="244" t="s">
        <v>422</v>
      </c>
      <c r="J90" s="186">
        <v>0</v>
      </c>
      <c r="K90" s="236"/>
      <c r="L90" s="237">
        <v>711671</v>
      </c>
      <c r="M90" s="201">
        <v>200000</v>
      </c>
      <c r="N90" s="201">
        <v>60000</v>
      </c>
      <c r="O90" s="201">
        <f t="shared" si="10"/>
        <v>128100.78</v>
      </c>
      <c r="P90" s="201">
        <v>9800</v>
      </c>
      <c r="Q90" s="191">
        <v>6500</v>
      </c>
      <c r="R90" s="317" t="s">
        <v>577</v>
      </c>
      <c r="S90" s="253">
        <v>672484.51</v>
      </c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</row>
    <row r="91" spans="1:51" ht="13.5" thickBot="1" x14ac:dyDescent="0.35">
      <c r="A91" s="244" t="s">
        <v>407</v>
      </c>
      <c r="B91" s="244" t="s">
        <v>397</v>
      </c>
      <c r="C91" s="251" t="s">
        <v>603</v>
      </c>
      <c r="D91" s="276" t="s">
        <v>39</v>
      </c>
      <c r="E91" s="244" t="s">
        <v>417</v>
      </c>
      <c r="F91" s="245"/>
      <c r="G91" s="245"/>
      <c r="H91" s="244" t="s">
        <v>422</v>
      </c>
      <c r="J91" s="186">
        <v>0</v>
      </c>
      <c r="K91" s="236"/>
      <c r="L91" s="237">
        <v>711671</v>
      </c>
      <c r="M91" s="201">
        <v>200000</v>
      </c>
      <c r="N91" s="201">
        <v>60000</v>
      </c>
      <c r="O91" s="201">
        <f t="shared" si="10"/>
        <v>128100.78</v>
      </c>
      <c r="P91" s="201">
        <v>9800</v>
      </c>
      <c r="Q91" s="191">
        <v>6500</v>
      </c>
      <c r="R91" s="317" t="s">
        <v>578</v>
      </c>
      <c r="S91" s="253">
        <v>672484.51</v>
      </c>
    </row>
    <row r="92" spans="1:51" ht="13.5" thickBot="1" x14ac:dyDescent="0.35">
      <c r="A92" s="244" t="s">
        <v>408</v>
      </c>
      <c r="B92" s="244" t="s">
        <v>397</v>
      </c>
      <c r="C92" s="251" t="s">
        <v>604</v>
      </c>
      <c r="D92" s="276" t="s">
        <v>39</v>
      </c>
      <c r="E92" s="244" t="s">
        <v>418</v>
      </c>
      <c r="F92" s="245"/>
      <c r="G92" s="245"/>
      <c r="H92" s="244" t="s">
        <v>423</v>
      </c>
      <c r="J92" s="186">
        <v>0</v>
      </c>
      <c r="K92" s="236"/>
      <c r="L92" s="237">
        <v>799683.51</v>
      </c>
      <c r="M92" s="201">
        <v>220000</v>
      </c>
      <c r="N92" s="201">
        <v>80000</v>
      </c>
      <c r="O92" s="201">
        <f t="shared" si="10"/>
        <v>143943.0318</v>
      </c>
      <c r="P92" s="201">
        <v>9800</v>
      </c>
      <c r="Q92" s="191">
        <v>6500</v>
      </c>
      <c r="R92" s="345" t="s">
        <v>1432</v>
      </c>
      <c r="S92" s="253"/>
    </row>
    <row r="93" spans="1:51" ht="13.5" thickBot="1" x14ac:dyDescent="0.35">
      <c r="A93" s="244" t="s">
        <v>409</v>
      </c>
      <c r="B93" s="244" t="s">
        <v>397</v>
      </c>
      <c r="C93" s="251" t="s">
        <v>604</v>
      </c>
      <c r="D93" s="276" t="s">
        <v>39</v>
      </c>
      <c r="E93" s="244" t="s">
        <v>418</v>
      </c>
      <c r="F93" s="245"/>
      <c r="G93" s="245"/>
      <c r="H93" s="244" t="s">
        <v>423</v>
      </c>
      <c r="J93" s="186">
        <v>0</v>
      </c>
      <c r="K93" s="236"/>
      <c r="L93" s="237">
        <v>799683.51</v>
      </c>
      <c r="M93" s="201">
        <v>220000</v>
      </c>
      <c r="N93" s="201">
        <v>80000</v>
      </c>
      <c r="O93" s="201">
        <f t="shared" si="10"/>
        <v>143943.0318</v>
      </c>
      <c r="P93" s="201">
        <v>9800</v>
      </c>
      <c r="Q93" s="191">
        <v>6500</v>
      </c>
      <c r="R93" s="345" t="s">
        <v>1433</v>
      </c>
      <c r="S93" s="253"/>
    </row>
    <row r="94" spans="1:51" ht="13.5" thickBot="1" x14ac:dyDescent="0.35">
      <c r="A94" s="244" t="s">
        <v>410</v>
      </c>
      <c r="B94" s="244" t="s">
        <v>397</v>
      </c>
      <c r="C94" s="251" t="s">
        <v>605</v>
      </c>
      <c r="D94" s="277" t="s">
        <v>39</v>
      </c>
      <c r="E94" s="244" t="s">
        <v>419</v>
      </c>
      <c r="F94" s="245"/>
      <c r="G94" s="245"/>
      <c r="H94" s="244" t="s">
        <v>423</v>
      </c>
      <c r="J94" s="186">
        <v>0</v>
      </c>
      <c r="K94" s="236"/>
      <c r="L94" s="237">
        <f>1374995/2</f>
        <v>687497.5</v>
      </c>
      <c r="M94" s="201">
        <v>200000</v>
      </c>
      <c r="N94" s="201">
        <v>60000</v>
      </c>
      <c r="O94" s="201">
        <f t="shared" si="10"/>
        <v>123749.55</v>
      </c>
      <c r="P94" s="201">
        <v>9800</v>
      </c>
      <c r="Q94" s="191">
        <v>6500</v>
      </c>
      <c r="R94" s="317" t="s">
        <v>646</v>
      </c>
      <c r="S94" s="253">
        <v>703582.92</v>
      </c>
    </row>
    <row r="95" spans="1:51" ht="13.5" thickBot="1" x14ac:dyDescent="0.35">
      <c r="A95" s="244" t="s">
        <v>411</v>
      </c>
      <c r="B95" s="244" t="s">
        <v>397</v>
      </c>
      <c r="C95" s="251" t="s">
        <v>605</v>
      </c>
      <c r="D95" s="276" t="s">
        <v>39</v>
      </c>
      <c r="E95" s="244" t="s">
        <v>419</v>
      </c>
      <c r="F95" s="245"/>
      <c r="G95" s="245"/>
      <c r="H95" s="244" t="s">
        <v>423</v>
      </c>
      <c r="J95" s="186">
        <v>0</v>
      </c>
      <c r="K95" s="236"/>
      <c r="L95" s="237">
        <v>687497.5</v>
      </c>
      <c r="M95" s="201">
        <v>200000</v>
      </c>
      <c r="N95" s="201">
        <v>60000</v>
      </c>
      <c r="O95" s="201">
        <f t="shared" si="10"/>
        <v>123749.55</v>
      </c>
      <c r="P95" s="201">
        <v>9800</v>
      </c>
      <c r="Q95" s="191">
        <v>6500</v>
      </c>
      <c r="R95" s="316" t="s">
        <v>1436</v>
      </c>
      <c r="S95" s="254">
        <v>703582.92</v>
      </c>
    </row>
    <row r="96" spans="1:51" ht="13.5" thickBot="1" x14ac:dyDescent="0.35">
      <c r="A96" s="244" t="s">
        <v>412</v>
      </c>
      <c r="B96" s="244" t="s">
        <v>397</v>
      </c>
      <c r="C96" s="251" t="s">
        <v>606</v>
      </c>
      <c r="D96" s="276" t="s">
        <v>39</v>
      </c>
      <c r="E96" s="244" t="s">
        <v>420</v>
      </c>
      <c r="F96" s="245"/>
      <c r="G96" s="245"/>
      <c r="H96" s="244" t="s">
        <v>424</v>
      </c>
      <c r="J96" s="186">
        <v>0</v>
      </c>
      <c r="K96" s="236"/>
      <c r="L96" s="237">
        <f>1910640/4</f>
        <v>477660</v>
      </c>
      <c r="M96" s="201">
        <v>150000</v>
      </c>
      <c r="N96" s="201">
        <v>50000</v>
      </c>
      <c r="O96" s="201">
        <f t="shared" si="10"/>
        <v>85978.8</v>
      </c>
      <c r="P96" s="201">
        <v>9800</v>
      </c>
      <c r="Q96" s="191">
        <v>6500</v>
      </c>
      <c r="R96" s="317" t="s">
        <v>1420</v>
      </c>
      <c r="S96" s="253">
        <f>1910640/4</f>
        <v>477660</v>
      </c>
    </row>
    <row r="97" spans="1:19" ht="13.5" thickBot="1" x14ac:dyDescent="0.35">
      <c r="A97" s="244" t="s">
        <v>413</v>
      </c>
      <c r="B97" s="244" t="s">
        <v>397</v>
      </c>
      <c r="C97" s="251" t="s">
        <v>606</v>
      </c>
      <c r="D97" s="276" t="s">
        <v>39</v>
      </c>
      <c r="E97" s="244" t="s">
        <v>420</v>
      </c>
      <c r="F97" s="245"/>
      <c r="G97" s="245"/>
      <c r="H97" s="244" t="s">
        <v>424</v>
      </c>
      <c r="J97" s="186">
        <v>0</v>
      </c>
      <c r="K97" s="236"/>
      <c r="L97" s="237">
        <v>477660</v>
      </c>
      <c r="M97" s="201">
        <v>150000</v>
      </c>
      <c r="N97" s="201">
        <v>50000</v>
      </c>
      <c r="O97" s="201">
        <f t="shared" si="10"/>
        <v>85978.8</v>
      </c>
      <c r="P97" s="201">
        <v>9800</v>
      </c>
      <c r="Q97" s="191">
        <v>6500</v>
      </c>
      <c r="R97" s="317" t="s">
        <v>1421</v>
      </c>
      <c r="S97" s="253">
        <f>1910640/4</f>
        <v>477660</v>
      </c>
    </row>
    <row r="98" spans="1:19" ht="13.5" thickBot="1" x14ac:dyDescent="0.35">
      <c r="A98" s="244" t="s">
        <v>414</v>
      </c>
      <c r="B98" s="244" t="s">
        <v>397</v>
      </c>
      <c r="C98" s="251" t="s">
        <v>606</v>
      </c>
      <c r="D98" s="276" t="s">
        <v>39</v>
      </c>
      <c r="E98" s="244" t="s">
        <v>420</v>
      </c>
      <c r="F98" s="245"/>
      <c r="G98" s="245"/>
      <c r="H98" s="244" t="s">
        <v>424</v>
      </c>
      <c r="J98" s="186">
        <v>0</v>
      </c>
      <c r="K98" s="236"/>
      <c r="L98" s="237">
        <v>477660</v>
      </c>
      <c r="M98" s="201">
        <v>150000</v>
      </c>
      <c r="N98" s="201">
        <v>50000</v>
      </c>
      <c r="O98" s="201">
        <f t="shared" si="10"/>
        <v>85978.8</v>
      </c>
      <c r="P98" s="201">
        <v>9800</v>
      </c>
      <c r="Q98" s="191">
        <v>6500</v>
      </c>
      <c r="R98" s="317" t="s">
        <v>1422</v>
      </c>
      <c r="S98" s="253">
        <f>1910640/4</f>
        <v>477660</v>
      </c>
    </row>
    <row r="99" spans="1:19" ht="13.5" thickBot="1" x14ac:dyDescent="0.35">
      <c r="A99" s="244" t="s">
        <v>415</v>
      </c>
      <c r="B99" s="244" t="s">
        <v>397</v>
      </c>
      <c r="C99" s="251" t="s">
        <v>606</v>
      </c>
      <c r="D99" s="276" t="s">
        <v>39</v>
      </c>
      <c r="E99" s="244" t="s">
        <v>420</v>
      </c>
      <c r="F99" s="245"/>
      <c r="G99" s="245"/>
      <c r="H99" s="244" t="s">
        <v>424</v>
      </c>
      <c r="J99" s="186">
        <v>0</v>
      </c>
      <c r="K99" s="236"/>
      <c r="L99" s="237">
        <v>477660</v>
      </c>
      <c r="M99" s="201">
        <v>150000</v>
      </c>
      <c r="N99" s="201">
        <v>50000</v>
      </c>
      <c r="O99" s="201">
        <f t="shared" si="10"/>
        <v>85978.8</v>
      </c>
      <c r="P99" s="201">
        <v>9800</v>
      </c>
      <c r="Q99" s="191">
        <v>6500</v>
      </c>
      <c r="R99" s="317" t="s">
        <v>1423</v>
      </c>
      <c r="S99" s="253">
        <f>1910640/4</f>
        <v>477660</v>
      </c>
    </row>
    <row r="100" spans="1:19" ht="13.5" thickBot="1" x14ac:dyDescent="0.35">
      <c r="A100" s="244" t="s">
        <v>416</v>
      </c>
      <c r="B100" s="244" t="s">
        <v>397</v>
      </c>
      <c r="C100" s="250" t="s">
        <v>621</v>
      </c>
      <c r="D100" s="277" t="s">
        <v>582</v>
      </c>
      <c r="E100" s="244" t="s">
        <v>421</v>
      </c>
      <c r="F100" s="245"/>
      <c r="G100" s="245"/>
      <c r="H100" s="244" t="s">
        <v>267</v>
      </c>
      <c r="J100" s="186">
        <v>0</v>
      </c>
      <c r="K100" s="236"/>
      <c r="L100" s="237">
        <v>1173869</v>
      </c>
      <c r="M100" s="201">
        <v>350000</v>
      </c>
      <c r="N100" s="201">
        <v>190000</v>
      </c>
      <c r="O100" s="201">
        <f t="shared" si="10"/>
        <v>211296.42</v>
      </c>
      <c r="P100" s="201">
        <v>9800</v>
      </c>
      <c r="Q100" s="191">
        <v>6500</v>
      </c>
      <c r="R100" s="317" t="s">
        <v>579</v>
      </c>
      <c r="S100" s="253">
        <v>1022708.3</v>
      </c>
    </row>
    <row r="101" spans="1:19" x14ac:dyDescent="0.3">
      <c r="F101" s="235"/>
      <c r="G101" s="235"/>
      <c r="K101" s="236"/>
      <c r="L101" s="237"/>
      <c r="S101" s="258">
        <f>SUBTOTAL(9,S2:S100)</f>
        <v>30070453.179999992</v>
      </c>
    </row>
    <row r="102" spans="1:19" x14ac:dyDescent="0.3">
      <c r="F102" s="235"/>
      <c r="G102" s="235"/>
      <c r="K102" s="236"/>
      <c r="L102" s="237"/>
    </row>
    <row r="103" spans="1:19" x14ac:dyDescent="0.3">
      <c r="F103" s="238"/>
      <c r="G103" s="238"/>
    </row>
    <row r="104" spans="1:19" x14ac:dyDescent="0.3">
      <c r="F104" s="238"/>
      <c r="G104" s="238"/>
    </row>
    <row r="105" spans="1:19" x14ac:dyDescent="0.3">
      <c r="F105" s="238"/>
      <c r="G105" s="238"/>
    </row>
    <row r="106" spans="1:19" x14ac:dyDescent="0.3">
      <c r="F106" s="238"/>
      <c r="G106" s="238"/>
    </row>
    <row r="107" spans="1:19" x14ac:dyDescent="0.3">
      <c r="F107" s="238"/>
      <c r="G107" s="238"/>
    </row>
    <row r="108" spans="1:19" x14ac:dyDescent="0.3">
      <c r="F108" s="238"/>
      <c r="G108" s="238"/>
    </row>
    <row r="109" spans="1:19" x14ac:dyDescent="0.3">
      <c r="F109" s="238"/>
      <c r="G109" s="238"/>
    </row>
    <row r="110" spans="1:19" x14ac:dyDescent="0.3">
      <c r="F110" s="238"/>
      <c r="G110" s="238"/>
    </row>
    <row r="111" spans="1:19" x14ac:dyDescent="0.3">
      <c r="F111" s="238"/>
      <c r="G111" s="238"/>
    </row>
    <row r="112" spans="1:19" x14ac:dyDescent="0.3">
      <c r="F112" s="238"/>
      <c r="G112" s="238"/>
    </row>
    <row r="113" spans="6:7" x14ac:dyDescent="0.3">
      <c r="F113" s="238"/>
      <c r="G113" s="238"/>
    </row>
    <row r="114" spans="6:7" x14ac:dyDescent="0.3">
      <c r="F114" s="238"/>
      <c r="G114" s="238"/>
    </row>
    <row r="115" spans="6:7" x14ac:dyDescent="0.3">
      <c r="F115" s="238"/>
      <c r="G115" s="238"/>
    </row>
  </sheetData>
  <autoFilter ref="A1:AY100" xr:uid="{00000000-0009-0000-0000-00000A000000}"/>
  <sortState xmlns:xlrd2="http://schemas.microsoft.com/office/spreadsheetml/2017/richdata2" ref="A3:AY28">
    <sortCondition ref="A3"/>
  </sortState>
  <customSheetViews>
    <customSheetView guid="{6C0BD6A7-6718-429D-82D9-D2FE0341EA2C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1"/>
      <autoFilter ref="A1:AY100" xr:uid="{71D96975-DBB8-474B-9D2D-63EDCA5D490B}"/>
    </customSheetView>
    <customSheetView guid="{594C4AB0-8D5F-4373-9663-410F4413FE3A}" showPageBreaks="1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2"/>
      <autoFilter ref="A1:AY100" xr:uid="{A169014B-34DF-4DF2-B0CF-89C24A3C774B}"/>
    </customSheetView>
    <customSheetView guid="{DF69299D-7752-4436-A45D-28F739CEE21B}" showAutoFilter="1" hiddenColumns="1" topLeftCell="I1">
      <pane ySplit="2" topLeftCell="A3" activePane="bottomLeft" state="frozen"/>
      <selection pane="bottomLeft" activeCell="R12" sqref="R12"/>
      <pageMargins left="0" right="0" top="0" bottom="0" header="0.31496062992125984" footer="0.31496062992125984"/>
      <pageSetup paperSize="9" scale="90" orientation="portrait" r:id="rId3"/>
      <autoFilter ref="A1:AY100" xr:uid="{F1411A1D-EB65-494C-BC30-A192578D50F3}"/>
    </customSheetView>
  </customSheetViews>
  <pageMargins left="0" right="0" top="0" bottom="0" header="0.31496062992125984" footer="0.31496062992125984"/>
  <pageSetup paperSize="9" scale="90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J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796875" defaultRowHeight="10" x14ac:dyDescent="0.2"/>
  <cols>
    <col min="1" max="1" width="9.7265625" style="107" bestFit="1" customWidth="1"/>
    <col min="2" max="2" width="20.1796875" style="94" customWidth="1"/>
    <col min="3" max="3" width="13.26953125" style="94" customWidth="1"/>
    <col min="4" max="4" width="12" style="94" customWidth="1"/>
    <col min="5" max="5" width="11.54296875" style="94" customWidth="1"/>
    <col min="6" max="6" width="10.7265625" style="94" customWidth="1"/>
    <col min="7" max="7" width="10.453125" style="95" customWidth="1"/>
    <col min="8" max="8" width="10" style="95" customWidth="1"/>
    <col min="9" max="9" width="8.54296875" style="110" bestFit="1" customWidth="1"/>
    <col min="10" max="10" width="13.7265625" style="95" bestFit="1" customWidth="1"/>
    <col min="11" max="16384" width="9.1796875" style="95"/>
  </cols>
  <sheetData>
    <row r="1" spans="1:10" x14ac:dyDescent="0.2">
      <c r="A1" s="89" t="s">
        <v>151</v>
      </c>
      <c r="B1" s="90" t="s">
        <v>152</v>
      </c>
      <c r="C1" s="90" t="s">
        <v>185</v>
      </c>
      <c r="D1" s="91" t="s">
        <v>183</v>
      </c>
      <c r="E1" s="90" t="s">
        <v>186</v>
      </c>
      <c r="F1" s="92" t="s">
        <v>184</v>
      </c>
      <c r="G1" s="93" t="s">
        <v>187</v>
      </c>
      <c r="H1" s="94" t="s">
        <v>153</v>
      </c>
      <c r="I1" s="110" t="s">
        <v>197</v>
      </c>
      <c r="J1" s="95" t="s">
        <v>198</v>
      </c>
    </row>
    <row r="2" spans="1:10" x14ac:dyDescent="0.2">
      <c r="A2" s="96" t="s">
        <v>154</v>
      </c>
      <c r="B2" s="97">
        <v>192900</v>
      </c>
      <c r="C2" s="98">
        <v>31301.52</v>
      </c>
      <c r="D2" s="99">
        <f>+C2/12*7</f>
        <v>18259.22</v>
      </c>
      <c r="E2" s="97">
        <v>17881.14</v>
      </c>
      <c r="F2" s="92">
        <f>+E2/12*7</f>
        <v>10430.665000000001</v>
      </c>
      <c r="G2" s="100">
        <f>+C2+E2</f>
        <v>49182.66</v>
      </c>
      <c r="H2" s="100">
        <f>+D2+F2</f>
        <v>28689.885000000002</v>
      </c>
      <c r="I2" s="110" t="s">
        <v>206</v>
      </c>
      <c r="J2" s="95" t="s">
        <v>199</v>
      </c>
    </row>
    <row r="3" spans="1:10" x14ac:dyDescent="0.2">
      <c r="A3" s="96" t="s">
        <v>155</v>
      </c>
      <c r="B3" s="97">
        <v>192900</v>
      </c>
      <c r="C3" s="98">
        <v>31301.52</v>
      </c>
      <c r="D3" s="99">
        <f t="shared" ref="D3:D32" si="0">+C3/12*7</f>
        <v>18259.22</v>
      </c>
      <c r="E3" s="97">
        <v>17881.14</v>
      </c>
      <c r="F3" s="92">
        <f t="shared" ref="F3:F32" si="1">+E3/12*7</f>
        <v>10430.665000000001</v>
      </c>
      <c r="G3" s="100">
        <f t="shared" ref="G3:H18" si="2">+C3+E3</f>
        <v>49182.66</v>
      </c>
      <c r="H3" s="100">
        <f t="shared" si="2"/>
        <v>28689.885000000002</v>
      </c>
      <c r="I3" s="110" t="s">
        <v>206</v>
      </c>
      <c r="J3" s="95" t="s">
        <v>199</v>
      </c>
    </row>
    <row r="4" spans="1:10" x14ac:dyDescent="0.2">
      <c r="A4" s="96" t="s">
        <v>156</v>
      </c>
      <c r="B4" s="97">
        <v>192900</v>
      </c>
      <c r="C4" s="98">
        <v>31301.52</v>
      </c>
      <c r="D4" s="99">
        <f t="shared" si="0"/>
        <v>18259.22</v>
      </c>
      <c r="E4" s="97">
        <v>17881.14</v>
      </c>
      <c r="F4" s="92">
        <f t="shared" si="1"/>
        <v>10430.665000000001</v>
      </c>
      <c r="G4" s="100">
        <f t="shared" si="2"/>
        <v>49182.66</v>
      </c>
      <c r="H4" s="100">
        <f t="shared" si="2"/>
        <v>28689.885000000002</v>
      </c>
      <c r="I4" s="110" t="s">
        <v>206</v>
      </c>
      <c r="J4" s="95" t="s">
        <v>199</v>
      </c>
    </row>
    <row r="5" spans="1:10" x14ac:dyDescent="0.2">
      <c r="A5" s="96" t="s">
        <v>157</v>
      </c>
      <c r="B5" s="97">
        <v>192900</v>
      </c>
      <c r="C5" s="98">
        <v>31301.52</v>
      </c>
      <c r="D5" s="99">
        <f t="shared" si="0"/>
        <v>18259.22</v>
      </c>
      <c r="E5" s="97">
        <v>17881.14</v>
      </c>
      <c r="F5" s="92">
        <f t="shared" si="1"/>
        <v>10430.665000000001</v>
      </c>
      <c r="G5" s="100">
        <f t="shared" si="2"/>
        <v>49182.66</v>
      </c>
      <c r="H5" s="100">
        <f t="shared" si="2"/>
        <v>28689.885000000002</v>
      </c>
      <c r="I5" s="110" t="s">
        <v>206</v>
      </c>
      <c r="J5" s="95" t="s">
        <v>199</v>
      </c>
    </row>
    <row r="6" spans="1:10" x14ac:dyDescent="0.2">
      <c r="A6" s="96" t="s">
        <v>158</v>
      </c>
      <c r="B6" s="97">
        <v>192900</v>
      </c>
      <c r="C6" s="98">
        <v>31301.52</v>
      </c>
      <c r="D6" s="99">
        <f t="shared" si="0"/>
        <v>18259.22</v>
      </c>
      <c r="E6" s="97">
        <v>17881.14</v>
      </c>
      <c r="F6" s="92">
        <f t="shared" si="1"/>
        <v>10430.665000000001</v>
      </c>
      <c r="G6" s="100">
        <f t="shared" si="2"/>
        <v>49182.66</v>
      </c>
      <c r="H6" s="100">
        <f t="shared" si="2"/>
        <v>28689.885000000002</v>
      </c>
      <c r="I6" s="110" t="s">
        <v>207</v>
      </c>
      <c r="J6" s="95" t="s">
        <v>200</v>
      </c>
    </row>
    <row r="7" spans="1:10" x14ac:dyDescent="0.2">
      <c r="A7" s="96" t="s">
        <v>159</v>
      </c>
      <c r="B7" s="97">
        <v>192900</v>
      </c>
      <c r="C7" s="98">
        <v>31301.52</v>
      </c>
      <c r="D7" s="99">
        <f t="shared" si="0"/>
        <v>18259.22</v>
      </c>
      <c r="E7" s="97">
        <v>17881.14</v>
      </c>
      <c r="F7" s="92">
        <f t="shared" si="1"/>
        <v>10430.665000000001</v>
      </c>
      <c r="G7" s="100">
        <f t="shared" si="2"/>
        <v>49182.66</v>
      </c>
      <c r="H7" s="100">
        <f t="shared" si="2"/>
        <v>28689.885000000002</v>
      </c>
      <c r="I7" s="110" t="s">
        <v>22</v>
      </c>
      <c r="J7" s="95" t="s">
        <v>199</v>
      </c>
    </row>
    <row r="8" spans="1:10" x14ac:dyDescent="0.2">
      <c r="A8" s="96" t="s">
        <v>160</v>
      </c>
      <c r="B8" s="97">
        <v>192900</v>
      </c>
      <c r="C8" s="98">
        <v>31301.52</v>
      </c>
      <c r="D8" s="99">
        <f t="shared" si="0"/>
        <v>18259.22</v>
      </c>
      <c r="E8" s="97">
        <v>17881.14</v>
      </c>
      <c r="F8" s="92">
        <f t="shared" si="1"/>
        <v>10430.665000000001</v>
      </c>
      <c r="G8" s="100">
        <f t="shared" si="2"/>
        <v>49182.66</v>
      </c>
      <c r="H8" s="100">
        <f t="shared" si="2"/>
        <v>28689.885000000002</v>
      </c>
      <c r="I8" s="110" t="s">
        <v>22</v>
      </c>
      <c r="J8" s="95" t="s">
        <v>199</v>
      </c>
    </row>
    <row r="9" spans="1:10" x14ac:dyDescent="0.2">
      <c r="A9" s="96" t="s">
        <v>161</v>
      </c>
      <c r="B9" s="97">
        <v>192900</v>
      </c>
      <c r="C9" s="98">
        <v>31301.52</v>
      </c>
      <c r="D9" s="99">
        <f t="shared" si="0"/>
        <v>18259.22</v>
      </c>
      <c r="E9" s="97">
        <v>17881.14</v>
      </c>
      <c r="F9" s="92">
        <f t="shared" si="1"/>
        <v>10430.665000000001</v>
      </c>
      <c r="G9" s="100">
        <f t="shared" si="2"/>
        <v>49182.66</v>
      </c>
      <c r="H9" s="100">
        <f t="shared" si="2"/>
        <v>28689.885000000002</v>
      </c>
      <c r="I9" s="110" t="s">
        <v>22</v>
      </c>
      <c r="J9" s="95" t="s">
        <v>199</v>
      </c>
    </row>
    <row r="10" spans="1:10" x14ac:dyDescent="0.2">
      <c r="A10" s="96" t="s">
        <v>162</v>
      </c>
      <c r="B10" s="97">
        <v>192900</v>
      </c>
      <c r="C10" s="98">
        <v>31301.52</v>
      </c>
      <c r="D10" s="99">
        <f t="shared" si="0"/>
        <v>18259.22</v>
      </c>
      <c r="E10" s="97">
        <v>17881.14</v>
      </c>
      <c r="F10" s="92">
        <f t="shared" si="1"/>
        <v>10430.665000000001</v>
      </c>
      <c r="G10" s="100">
        <f t="shared" si="2"/>
        <v>49182.66</v>
      </c>
      <c r="H10" s="100">
        <f t="shared" si="2"/>
        <v>28689.885000000002</v>
      </c>
      <c r="I10" s="110" t="s">
        <v>22</v>
      </c>
      <c r="J10" s="95" t="s">
        <v>199</v>
      </c>
    </row>
    <row r="11" spans="1:10" x14ac:dyDescent="0.2">
      <c r="A11" s="96" t="s">
        <v>163</v>
      </c>
      <c r="B11" s="97">
        <v>192900</v>
      </c>
      <c r="C11" s="98">
        <v>31301.52</v>
      </c>
      <c r="D11" s="99">
        <f t="shared" si="0"/>
        <v>18259.22</v>
      </c>
      <c r="E11" s="97">
        <v>17881.14</v>
      </c>
      <c r="F11" s="92">
        <f t="shared" si="1"/>
        <v>10430.665000000001</v>
      </c>
      <c r="G11" s="100">
        <f t="shared" si="2"/>
        <v>49182.66</v>
      </c>
      <c r="H11" s="100">
        <f t="shared" si="2"/>
        <v>28689.885000000002</v>
      </c>
      <c r="I11" s="110" t="s">
        <v>22</v>
      </c>
      <c r="J11" s="95" t="s">
        <v>199</v>
      </c>
    </row>
    <row r="12" spans="1:10" x14ac:dyDescent="0.2">
      <c r="A12" s="96" t="s">
        <v>164</v>
      </c>
      <c r="B12" s="97">
        <v>192900</v>
      </c>
      <c r="C12" s="98">
        <v>31301.52</v>
      </c>
      <c r="D12" s="99">
        <f t="shared" si="0"/>
        <v>18259.22</v>
      </c>
      <c r="E12" s="97">
        <v>17881.14</v>
      </c>
      <c r="F12" s="92">
        <f t="shared" si="1"/>
        <v>10430.665000000001</v>
      </c>
      <c r="G12" s="100">
        <f t="shared" si="2"/>
        <v>49182.66</v>
      </c>
      <c r="H12" s="100">
        <f t="shared" si="2"/>
        <v>28689.885000000002</v>
      </c>
      <c r="I12" s="110" t="s">
        <v>19</v>
      </c>
      <c r="J12" s="95" t="s">
        <v>199</v>
      </c>
    </row>
    <row r="13" spans="1:10" x14ac:dyDescent="0.2">
      <c r="A13" s="96" t="s">
        <v>165</v>
      </c>
      <c r="B13" s="97">
        <v>192900</v>
      </c>
      <c r="C13" s="98">
        <v>31301.52</v>
      </c>
      <c r="D13" s="99">
        <f t="shared" si="0"/>
        <v>18259.22</v>
      </c>
      <c r="E13" s="97">
        <v>17881.14</v>
      </c>
      <c r="F13" s="92">
        <f t="shared" si="1"/>
        <v>10430.665000000001</v>
      </c>
      <c r="G13" s="100">
        <f t="shared" si="2"/>
        <v>49182.66</v>
      </c>
      <c r="H13" s="100">
        <f t="shared" si="2"/>
        <v>28689.885000000002</v>
      </c>
      <c r="I13" s="110" t="s">
        <v>206</v>
      </c>
      <c r="J13" s="95" t="s">
        <v>199</v>
      </c>
    </row>
    <row r="14" spans="1:10" x14ac:dyDescent="0.2">
      <c r="A14" s="96" t="s">
        <v>166</v>
      </c>
      <c r="B14" s="97">
        <v>192900</v>
      </c>
      <c r="C14" s="98">
        <v>31301.52</v>
      </c>
      <c r="D14" s="99">
        <f t="shared" si="0"/>
        <v>18259.22</v>
      </c>
      <c r="E14" s="97">
        <v>17881.14</v>
      </c>
      <c r="F14" s="92">
        <f t="shared" si="1"/>
        <v>10430.665000000001</v>
      </c>
      <c r="G14" s="100">
        <f t="shared" si="2"/>
        <v>49182.66</v>
      </c>
      <c r="H14" s="100">
        <f t="shared" si="2"/>
        <v>28689.885000000002</v>
      </c>
      <c r="I14" s="110" t="s">
        <v>207</v>
      </c>
      <c r="J14" s="95" t="s">
        <v>200</v>
      </c>
    </row>
    <row r="15" spans="1:10" x14ac:dyDescent="0.2">
      <c r="A15" s="96" t="s">
        <v>167</v>
      </c>
      <c r="B15" s="97">
        <v>192900</v>
      </c>
      <c r="C15" s="98">
        <v>31301.52</v>
      </c>
      <c r="D15" s="99">
        <f t="shared" si="0"/>
        <v>18259.22</v>
      </c>
      <c r="E15" s="97">
        <v>17881.14</v>
      </c>
      <c r="F15" s="92">
        <f t="shared" si="1"/>
        <v>10430.665000000001</v>
      </c>
      <c r="G15" s="100">
        <f t="shared" si="2"/>
        <v>49182.66</v>
      </c>
      <c r="H15" s="100">
        <f t="shared" si="2"/>
        <v>28689.885000000002</v>
      </c>
      <c r="I15" s="110" t="s">
        <v>35</v>
      </c>
      <c r="J15" s="95" t="s">
        <v>199</v>
      </c>
    </row>
    <row r="16" spans="1:10" x14ac:dyDescent="0.2">
      <c r="A16" s="96" t="s">
        <v>168</v>
      </c>
      <c r="B16" s="97">
        <v>180400</v>
      </c>
      <c r="C16" s="97">
        <v>29273.17</v>
      </c>
      <c r="D16" s="99">
        <f t="shared" si="0"/>
        <v>17076.015833333335</v>
      </c>
      <c r="E16" s="97">
        <v>16722.43</v>
      </c>
      <c r="F16" s="92">
        <f t="shared" si="1"/>
        <v>9754.7508333333335</v>
      </c>
      <c r="G16" s="100">
        <f t="shared" si="2"/>
        <v>45995.6</v>
      </c>
      <c r="H16" s="100">
        <f t="shared" si="2"/>
        <v>26830.76666666667</v>
      </c>
      <c r="I16" s="110" t="s">
        <v>19</v>
      </c>
      <c r="J16" s="95" t="s">
        <v>101</v>
      </c>
    </row>
    <row r="17" spans="1:10" x14ac:dyDescent="0.2">
      <c r="A17" s="96" t="s">
        <v>169</v>
      </c>
      <c r="B17" s="97">
        <v>282200</v>
      </c>
      <c r="C17" s="97">
        <v>45792.06</v>
      </c>
      <c r="D17" s="99">
        <f t="shared" si="0"/>
        <v>26712.034999999996</v>
      </c>
      <c r="E17" s="97">
        <v>26158.93</v>
      </c>
      <c r="F17" s="92">
        <f t="shared" si="1"/>
        <v>15259.375833333334</v>
      </c>
      <c r="G17" s="100">
        <f t="shared" si="2"/>
        <v>71950.989999999991</v>
      </c>
      <c r="H17" s="100">
        <f t="shared" si="2"/>
        <v>41971.410833333328</v>
      </c>
      <c r="I17" s="110" t="s">
        <v>208</v>
      </c>
      <c r="J17" s="95" t="s">
        <v>201</v>
      </c>
    </row>
    <row r="18" spans="1:10" x14ac:dyDescent="0.2">
      <c r="A18" s="96" t="s">
        <v>170</v>
      </c>
      <c r="B18" s="97">
        <v>282200</v>
      </c>
      <c r="C18" s="97">
        <v>45792.06</v>
      </c>
      <c r="D18" s="99">
        <f t="shared" si="0"/>
        <v>26712.034999999996</v>
      </c>
      <c r="E18" s="97">
        <v>26158.93</v>
      </c>
      <c r="F18" s="92">
        <f t="shared" si="1"/>
        <v>15259.375833333334</v>
      </c>
      <c r="G18" s="100">
        <f t="shared" si="2"/>
        <v>71950.989999999991</v>
      </c>
      <c r="H18" s="100">
        <f t="shared" si="2"/>
        <v>41971.410833333328</v>
      </c>
      <c r="I18" s="110" t="s">
        <v>208</v>
      </c>
      <c r="J18" s="95" t="s">
        <v>201</v>
      </c>
    </row>
    <row r="19" spans="1:10" x14ac:dyDescent="0.2">
      <c r="A19" s="96" t="s">
        <v>171</v>
      </c>
      <c r="B19" s="97">
        <v>282200</v>
      </c>
      <c r="C19" s="97">
        <v>45792.06</v>
      </c>
      <c r="D19" s="99">
        <f t="shared" si="0"/>
        <v>26712.034999999996</v>
      </c>
      <c r="E19" s="97">
        <v>26158.93</v>
      </c>
      <c r="F19" s="92">
        <f t="shared" si="1"/>
        <v>15259.375833333334</v>
      </c>
      <c r="G19" s="100">
        <f t="shared" ref="G19:H30" si="3">+C19+E19</f>
        <v>71950.989999999991</v>
      </c>
      <c r="H19" s="100">
        <f t="shared" si="3"/>
        <v>41971.410833333328</v>
      </c>
      <c r="I19" s="110" t="s">
        <v>208</v>
      </c>
      <c r="J19" s="95" t="s">
        <v>201</v>
      </c>
    </row>
    <row r="20" spans="1:10" x14ac:dyDescent="0.2">
      <c r="A20" s="96" t="s">
        <v>172</v>
      </c>
      <c r="B20" s="97">
        <v>282200</v>
      </c>
      <c r="C20" s="97">
        <v>45792.06</v>
      </c>
      <c r="D20" s="99">
        <f t="shared" si="0"/>
        <v>26712.034999999996</v>
      </c>
      <c r="E20" s="97">
        <v>26158.93</v>
      </c>
      <c r="F20" s="92">
        <f t="shared" si="1"/>
        <v>15259.375833333334</v>
      </c>
      <c r="G20" s="100">
        <f t="shared" si="3"/>
        <v>71950.989999999991</v>
      </c>
      <c r="H20" s="100">
        <f t="shared" si="3"/>
        <v>41971.410833333328</v>
      </c>
      <c r="I20" s="110" t="s">
        <v>208</v>
      </c>
      <c r="J20" s="95" t="s">
        <v>201</v>
      </c>
    </row>
    <row r="21" spans="1:10" x14ac:dyDescent="0.2">
      <c r="A21" s="96" t="s">
        <v>173</v>
      </c>
      <c r="B21" s="97">
        <v>282200</v>
      </c>
      <c r="C21" s="97">
        <v>45792.06</v>
      </c>
      <c r="D21" s="99">
        <f t="shared" si="0"/>
        <v>26712.034999999996</v>
      </c>
      <c r="E21" s="97">
        <v>26158.93</v>
      </c>
      <c r="F21" s="92">
        <f t="shared" si="1"/>
        <v>15259.375833333334</v>
      </c>
      <c r="G21" s="100">
        <f t="shared" si="3"/>
        <v>71950.989999999991</v>
      </c>
      <c r="H21" s="100">
        <f t="shared" si="3"/>
        <v>41971.410833333328</v>
      </c>
      <c r="I21" s="110" t="s">
        <v>208</v>
      </c>
      <c r="J21" s="95" t="s">
        <v>201</v>
      </c>
    </row>
    <row r="22" spans="1:10" x14ac:dyDescent="0.2">
      <c r="A22" s="96" t="s">
        <v>174</v>
      </c>
      <c r="B22" s="97">
        <v>282200</v>
      </c>
      <c r="C22" s="97">
        <v>45792.06</v>
      </c>
      <c r="D22" s="99">
        <f t="shared" si="0"/>
        <v>26712.034999999996</v>
      </c>
      <c r="E22" s="97">
        <v>26158.93</v>
      </c>
      <c r="F22" s="92">
        <f t="shared" si="1"/>
        <v>15259.375833333334</v>
      </c>
      <c r="G22" s="100">
        <f t="shared" si="3"/>
        <v>71950.989999999991</v>
      </c>
      <c r="H22" s="100">
        <f t="shared" si="3"/>
        <v>41971.410833333328</v>
      </c>
      <c r="I22" s="110" t="s">
        <v>208</v>
      </c>
      <c r="J22" s="95" t="s">
        <v>201</v>
      </c>
    </row>
    <row r="23" spans="1:10" x14ac:dyDescent="0.2">
      <c r="A23" s="96" t="s">
        <v>175</v>
      </c>
      <c r="B23" s="97">
        <v>282200</v>
      </c>
      <c r="C23" s="97">
        <v>45792.06</v>
      </c>
      <c r="D23" s="99">
        <f t="shared" si="0"/>
        <v>26712.034999999996</v>
      </c>
      <c r="E23" s="97">
        <v>26158.93</v>
      </c>
      <c r="F23" s="92">
        <f t="shared" si="1"/>
        <v>15259.375833333334</v>
      </c>
      <c r="G23" s="100">
        <f t="shared" si="3"/>
        <v>71950.989999999991</v>
      </c>
      <c r="H23" s="100">
        <f t="shared" si="3"/>
        <v>41971.410833333328</v>
      </c>
      <c r="I23" s="110" t="s">
        <v>208</v>
      </c>
      <c r="J23" s="95" t="s">
        <v>201</v>
      </c>
    </row>
    <row r="24" spans="1:10" x14ac:dyDescent="0.2">
      <c r="A24" s="96" t="s">
        <v>176</v>
      </c>
      <c r="B24" s="97">
        <v>282200</v>
      </c>
      <c r="C24" s="97">
        <v>45792.06</v>
      </c>
      <c r="D24" s="99">
        <f t="shared" si="0"/>
        <v>26712.034999999996</v>
      </c>
      <c r="E24" s="97">
        <v>26158.93</v>
      </c>
      <c r="F24" s="92">
        <f t="shared" si="1"/>
        <v>15259.375833333334</v>
      </c>
      <c r="G24" s="100">
        <f t="shared" si="3"/>
        <v>71950.989999999991</v>
      </c>
      <c r="H24" s="100">
        <f t="shared" si="3"/>
        <v>41971.410833333328</v>
      </c>
      <c r="I24" s="110" t="s">
        <v>208</v>
      </c>
      <c r="J24" s="95" t="s">
        <v>201</v>
      </c>
    </row>
    <row r="25" spans="1:10" x14ac:dyDescent="0.2">
      <c r="A25" s="96" t="s">
        <v>177</v>
      </c>
      <c r="B25" s="97">
        <v>282200</v>
      </c>
      <c r="C25" s="97">
        <v>45792.06</v>
      </c>
      <c r="D25" s="99">
        <f t="shared" si="0"/>
        <v>26712.034999999996</v>
      </c>
      <c r="E25" s="97">
        <v>26158.93</v>
      </c>
      <c r="F25" s="92">
        <f t="shared" si="1"/>
        <v>15259.375833333334</v>
      </c>
      <c r="G25" s="100">
        <f t="shared" si="3"/>
        <v>71950.989999999991</v>
      </c>
      <c r="H25" s="100">
        <f t="shared" si="3"/>
        <v>41971.410833333328</v>
      </c>
      <c r="I25" s="110" t="s">
        <v>208</v>
      </c>
      <c r="J25" s="95" t="s">
        <v>201</v>
      </c>
    </row>
    <row r="26" spans="1:10" x14ac:dyDescent="0.2">
      <c r="A26" s="96" t="s">
        <v>178</v>
      </c>
      <c r="B26" s="97">
        <v>440900</v>
      </c>
      <c r="C26" s="97">
        <v>71544.009999999995</v>
      </c>
      <c r="D26" s="99">
        <f t="shared" si="0"/>
        <v>41734.005833333329</v>
      </c>
      <c r="E26" s="97">
        <v>40869.85</v>
      </c>
      <c r="F26" s="92">
        <f t="shared" si="1"/>
        <v>23840.745833333334</v>
      </c>
      <c r="G26" s="100">
        <f t="shared" si="3"/>
        <v>112413.85999999999</v>
      </c>
      <c r="H26" s="100">
        <f t="shared" si="3"/>
        <v>65574.751666666663</v>
      </c>
      <c r="I26" s="110" t="s">
        <v>207</v>
      </c>
      <c r="J26" s="95" t="s">
        <v>202</v>
      </c>
    </row>
    <row r="27" spans="1:10" x14ac:dyDescent="0.2">
      <c r="A27" s="96" t="s">
        <v>179</v>
      </c>
      <c r="B27" s="97">
        <v>440900</v>
      </c>
      <c r="C27" s="97">
        <v>71544.009999999995</v>
      </c>
      <c r="D27" s="99">
        <f t="shared" si="0"/>
        <v>41734.005833333329</v>
      </c>
      <c r="E27" s="97">
        <v>40869.85</v>
      </c>
      <c r="F27" s="92">
        <f t="shared" si="1"/>
        <v>23840.745833333334</v>
      </c>
      <c r="G27" s="100">
        <f t="shared" si="3"/>
        <v>112413.85999999999</v>
      </c>
      <c r="H27" s="100">
        <f t="shared" si="3"/>
        <v>65574.751666666663</v>
      </c>
      <c r="I27" s="110" t="s">
        <v>206</v>
      </c>
      <c r="J27" s="95" t="s">
        <v>202</v>
      </c>
    </row>
    <row r="28" spans="1:10" x14ac:dyDescent="0.2">
      <c r="A28" s="96" t="s">
        <v>180</v>
      </c>
      <c r="B28" s="97">
        <v>440900</v>
      </c>
      <c r="C28" s="97">
        <v>71544.009999999995</v>
      </c>
      <c r="D28" s="99">
        <f t="shared" si="0"/>
        <v>41734.005833333329</v>
      </c>
      <c r="E28" s="97">
        <v>40869.85</v>
      </c>
      <c r="F28" s="92">
        <f t="shared" si="1"/>
        <v>23840.745833333334</v>
      </c>
      <c r="G28" s="100">
        <f t="shared" si="3"/>
        <v>112413.85999999999</v>
      </c>
      <c r="H28" s="100">
        <f t="shared" si="3"/>
        <v>65574.751666666663</v>
      </c>
      <c r="I28" s="110" t="s">
        <v>206</v>
      </c>
      <c r="J28" s="95" t="s">
        <v>202</v>
      </c>
    </row>
    <row r="29" spans="1:10" x14ac:dyDescent="0.2">
      <c r="A29" s="96" t="s">
        <v>181</v>
      </c>
      <c r="B29" s="97">
        <v>520200</v>
      </c>
      <c r="C29" s="97">
        <v>84411.88</v>
      </c>
      <c r="D29" s="99">
        <f t="shared" si="0"/>
        <v>49240.263333333336</v>
      </c>
      <c r="E29" s="97">
        <v>48220.68</v>
      </c>
      <c r="F29" s="92">
        <f t="shared" si="1"/>
        <v>28128.73</v>
      </c>
      <c r="G29" s="100">
        <f t="shared" si="3"/>
        <v>132632.56</v>
      </c>
      <c r="H29" s="100">
        <f t="shared" si="3"/>
        <v>77368.993333333332</v>
      </c>
      <c r="I29" s="110" t="s">
        <v>22</v>
      </c>
      <c r="J29" s="95" t="s">
        <v>203</v>
      </c>
    </row>
    <row r="30" spans="1:10" ht="10.5" x14ac:dyDescent="0.25">
      <c r="A30" s="101">
        <v>298</v>
      </c>
      <c r="B30" s="97">
        <v>1272793</v>
      </c>
      <c r="C30" s="97">
        <v>206533.73</v>
      </c>
      <c r="D30" s="99">
        <f t="shared" si="0"/>
        <v>120478.00916666668</v>
      </c>
      <c r="E30" s="97">
        <v>117983.35</v>
      </c>
      <c r="F30" s="92">
        <f t="shared" si="1"/>
        <v>68823.620833333334</v>
      </c>
      <c r="G30" s="100">
        <f t="shared" si="3"/>
        <v>324517.08</v>
      </c>
      <c r="H30" s="100">
        <f t="shared" si="3"/>
        <v>189301.63</v>
      </c>
      <c r="I30" s="110" t="s">
        <v>206</v>
      </c>
      <c r="J30" s="95" t="s">
        <v>204</v>
      </c>
    </row>
    <row r="31" spans="1:10" x14ac:dyDescent="0.2">
      <c r="A31" s="101">
        <v>292</v>
      </c>
      <c r="B31" s="97">
        <v>282200</v>
      </c>
      <c r="C31" s="97">
        <v>45792.06</v>
      </c>
      <c r="D31" s="99">
        <f t="shared" si="0"/>
        <v>26712.034999999996</v>
      </c>
      <c r="E31" s="97">
        <v>26158.93</v>
      </c>
      <c r="F31" s="92">
        <f t="shared" si="1"/>
        <v>15259.375833333334</v>
      </c>
      <c r="G31" s="100">
        <f>+C31+E31</f>
        <v>71950.989999999991</v>
      </c>
      <c r="H31" s="100">
        <f>+D31+F31</f>
        <v>41971.410833333328</v>
      </c>
      <c r="I31" s="110" t="s">
        <v>19</v>
      </c>
      <c r="J31" s="95" t="s">
        <v>205</v>
      </c>
    </row>
    <row r="32" spans="1:10" x14ac:dyDescent="0.2">
      <c r="A32" s="101">
        <v>293</v>
      </c>
      <c r="B32" s="97">
        <v>282200</v>
      </c>
      <c r="C32" s="97">
        <v>45792.06</v>
      </c>
      <c r="D32" s="99">
        <f t="shared" si="0"/>
        <v>26712.034999999996</v>
      </c>
      <c r="E32" s="97">
        <v>26158.93</v>
      </c>
      <c r="F32" s="92">
        <f t="shared" si="1"/>
        <v>15259.375833333334</v>
      </c>
      <c r="G32" s="100">
        <f>+C32+E32</f>
        <v>71950.989999999991</v>
      </c>
      <c r="H32" s="100">
        <f>+D32+F32</f>
        <v>41971.410833333328</v>
      </c>
      <c r="I32" s="110" t="s">
        <v>19</v>
      </c>
      <c r="J32" s="95" t="s">
        <v>205</v>
      </c>
    </row>
    <row r="33" spans="1:9" x14ac:dyDescent="0.2">
      <c r="A33" s="102">
        <v>15</v>
      </c>
      <c r="B33" s="103">
        <v>282200</v>
      </c>
      <c r="C33" s="91">
        <v>45792.06</v>
      </c>
      <c r="D33" s="103"/>
      <c r="E33" s="91">
        <v>26158.93</v>
      </c>
      <c r="F33" s="104"/>
      <c r="G33" s="100">
        <f t="shared" ref="G33:G93" si="4">+C33+E33</f>
        <v>71950.989999999991</v>
      </c>
      <c r="H33" s="100">
        <f t="shared" ref="H33:H93" si="5">+D33+F33</f>
        <v>0</v>
      </c>
      <c r="I33" s="110" t="s">
        <v>35</v>
      </c>
    </row>
    <row r="34" spans="1:9" x14ac:dyDescent="0.2">
      <c r="A34" s="102">
        <v>32</v>
      </c>
      <c r="B34" s="103">
        <v>282200</v>
      </c>
      <c r="C34" s="91">
        <v>45792.06</v>
      </c>
      <c r="D34" s="103"/>
      <c r="E34" s="91">
        <v>26158.93</v>
      </c>
      <c r="F34" s="104"/>
      <c r="G34" s="100">
        <f t="shared" si="4"/>
        <v>71950.989999999991</v>
      </c>
      <c r="H34" s="100">
        <f t="shared" si="5"/>
        <v>0</v>
      </c>
      <c r="I34" s="110" t="s">
        <v>206</v>
      </c>
    </row>
    <row r="35" spans="1:9" x14ac:dyDescent="0.2">
      <c r="A35" s="102">
        <v>44</v>
      </c>
      <c r="B35" s="103">
        <v>440900</v>
      </c>
      <c r="C35" s="91">
        <v>71544.009999999995</v>
      </c>
      <c r="D35" s="103"/>
      <c r="E35" s="91">
        <v>40869.85</v>
      </c>
      <c r="F35" s="104"/>
      <c r="G35" s="100">
        <f t="shared" si="4"/>
        <v>112413.85999999999</v>
      </c>
      <c r="H35" s="100">
        <f t="shared" si="5"/>
        <v>0</v>
      </c>
      <c r="I35" s="110" t="s">
        <v>208</v>
      </c>
    </row>
    <row r="36" spans="1:9" x14ac:dyDescent="0.2">
      <c r="A36" s="102">
        <v>45</v>
      </c>
      <c r="B36" s="103">
        <v>440900</v>
      </c>
      <c r="C36" s="91">
        <v>71544.009999999995</v>
      </c>
      <c r="D36" s="103"/>
      <c r="E36" s="91">
        <v>40869.85</v>
      </c>
      <c r="F36" s="104"/>
      <c r="G36" s="100">
        <f t="shared" si="4"/>
        <v>112413.85999999999</v>
      </c>
      <c r="H36" s="100">
        <f t="shared" si="5"/>
        <v>0</v>
      </c>
      <c r="I36" s="110" t="s">
        <v>208</v>
      </c>
    </row>
    <row r="37" spans="1:9" x14ac:dyDescent="0.2">
      <c r="A37" s="102">
        <v>46</v>
      </c>
      <c r="B37" s="103">
        <v>440900</v>
      </c>
      <c r="C37" s="91">
        <v>71544.009999999995</v>
      </c>
      <c r="D37" s="103"/>
      <c r="E37" s="91">
        <v>40869.85</v>
      </c>
      <c r="F37" s="104"/>
      <c r="G37" s="100">
        <f t="shared" si="4"/>
        <v>112413.85999999999</v>
      </c>
      <c r="H37" s="100">
        <f t="shared" si="5"/>
        <v>0</v>
      </c>
      <c r="I37" s="110" t="s">
        <v>206</v>
      </c>
    </row>
    <row r="38" spans="1:9" x14ac:dyDescent="0.2">
      <c r="A38" s="102">
        <v>47</v>
      </c>
      <c r="B38" s="103">
        <v>440900</v>
      </c>
      <c r="C38" s="91">
        <v>71544.009999999995</v>
      </c>
      <c r="D38" s="103"/>
      <c r="E38" s="91">
        <v>40869.85</v>
      </c>
      <c r="F38" s="104"/>
      <c r="G38" s="100">
        <f t="shared" si="4"/>
        <v>112413.85999999999</v>
      </c>
      <c r="H38" s="100">
        <f t="shared" si="5"/>
        <v>0</v>
      </c>
      <c r="I38" s="110" t="s">
        <v>208</v>
      </c>
    </row>
    <row r="39" spans="1:9" x14ac:dyDescent="0.2">
      <c r="A39" s="102">
        <v>48</v>
      </c>
      <c r="B39" s="103">
        <v>440900</v>
      </c>
      <c r="C39" s="91">
        <v>71544.009999999995</v>
      </c>
      <c r="D39" s="103"/>
      <c r="E39" s="91">
        <v>40869.85</v>
      </c>
      <c r="F39" s="104"/>
      <c r="G39" s="100">
        <f t="shared" si="4"/>
        <v>112413.85999999999</v>
      </c>
      <c r="H39" s="100">
        <f t="shared" si="5"/>
        <v>0</v>
      </c>
      <c r="I39" s="110" t="s">
        <v>208</v>
      </c>
    </row>
    <row r="40" spans="1:9" x14ac:dyDescent="0.2">
      <c r="A40" s="102">
        <v>49</v>
      </c>
      <c r="B40" s="103">
        <v>440900</v>
      </c>
      <c r="C40" s="91">
        <v>71544.009999999995</v>
      </c>
      <c r="D40" s="103"/>
      <c r="E40" s="91">
        <v>40869.85</v>
      </c>
      <c r="F40" s="104"/>
      <c r="G40" s="100">
        <f t="shared" si="4"/>
        <v>112413.85999999999</v>
      </c>
      <c r="H40" s="100">
        <f t="shared" si="5"/>
        <v>0</v>
      </c>
      <c r="I40" s="110" t="s">
        <v>208</v>
      </c>
    </row>
    <row r="41" spans="1:9" x14ac:dyDescent="0.2">
      <c r="A41" s="102">
        <v>50</v>
      </c>
      <c r="B41" s="103">
        <v>1343376</v>
      </c>
      <c r="C41" s="91">
        <v>217987.1</v>
      </c>
      <c r="D41" s="103"/>
      <c r="E41" s="91">
        <v>124526.14</v>
      </c>
      <c r="F41" s="104"/>
      <c r="G41" s="100">
        <f t="shared" si="4"/>
        <v>342513.24</v>
      </c>
      <c r="H41" s="100">
        <f t="shared" si="5"/>
        <v>0</v>
      </c>
      <c r="I41" s="110" t="s">
        <v>208</v>
      </c>
    </row>
    <row r="42" spans="1:9" x14ac:dyDescent="0.2">
      <c r="A42" s="102">
        <v>51</v>
      </c>
      <c r="B42" s="103">
        <v>440900</v>
      </c>
      <c r="C42" s="91">
        <v>71544.009999999995</v>
      </c>
      <c r="D42" s="103"/>
      <c r="E42" s="91">
        <v>40869.85</v>
      </c>
      <c r="F42" s="104"/>
      <c r="G42" s="100">
        <f t="shared" si="4"/>
        <v>112413.85999999999</v>
      </c>
      <c r="H42" s="100">
        <f t="shared" si="5"/>
        <v>0</v>
      </c>
      <c r="I42" s="110" t="s">
        <v>208</v>
      </c>
    </row>
    <row r="43" spans="1:9" x14ac:dyDescent="0.2">
      <c r="A43" s="102">
        <v>52</v>
      </c>
      <c r="B43" s="103">
        <v>540200</v>
      </c>
      <c r="C43" s="91">
        <v>87657.24</v>
      </c>
      <c r="D43" s="103"/>
      <c r="E43" s="91">
        <v>50074.6</v>
      </c>
      <c r="F43" s="104"/>
      <c r="G43" s="100">
        <f t="shared" si="4"/>
        <v>137731.84</v>
      </c>
      <c r="H43" s="100">
        <f t="shared" si="5"/>
        <v>0</v>
      </c>
      <c r="I43" s="110" t="s">
        <v>208</v>
      </c>
    </row>
    <row r="44" spans="1:9" x14ac:dyDescent="0.2">
      <c r="A44" s="102">
        <v>53</v>
      </c>
      <c r="B44" s="103">
        <v>540200</v>
      </c>
      <c r="C44" s="91">
        <v>87657.24</v>
      </c>
      <c r="D44" s="103"/>
      <c r="E44" s="91">
        <v>50074.6</v>
      </c>
      <c r="F44" s="104"/>
      <c r="G44" s="100">
        <f t="shared" si="4"/>
        <v>137731.84</v>
      </c>
      <c r="H44" s="100">
        <f t="shared" si="5"/>
        <v>0</v>
      </c>
      <c r="I44" s="110" t="s">
        <v>208</v>
      </c>
    </row>
    <row r="45" spans="1:9" x14ac:dyDescent="0.2">
      <c r="A45" s="102">
        <v>55</v>
      </c>
      <c r="B45" s="103">
        <v>440900</v>
      </c>
      <c r="C45" s="91">
        <v>71544.009999999995</v>
      </c>
      <c r="D45" s="103"/>
      <c r="E45" s="91">
        <v>40869.85</v>
      </c>
      <c r="F45" s="104"/>
      <c r="G45" s="100">
        <f t="shared" si="4"/>
        <v>112413.85999999999</v>
      </c>
      <c r="H45" s="100">
        <f t="shared" si="5"/>
        <v>0</v>
      </c>
      <c r="I45" s="110" t="s">
        <v>208</v>
      </c>
    </row>
    <row r="46" spans="1:9" x14ac:dyDescent="0.2">
      <c r="A46" s="102">
        <v>72</v>
      </c>
      <c r="B46" s="103">
        <v>440900</v>
      </c>
      <c r="C46" s="91">
        <v>71544.009999999995</v>
      </c>
      <c r="D46" s="103"/>
      <c r="E46" s="91">
        <v>40869.85</v>
      </c>
      <c r="F46" s="104"/>
      <c r="G46" s="100">
        <f t="shared" si="4"/>
        <v>112413.85999999999</v>
      </c>
      <c r="H46" s="100">
        <f t="shared" si="5"/>
        <v>0</v>
      </c>
      <c r="I46" s="110" t="s">
        <v>22</v>
      </c>
    </row>
    <row r="47" spans="1:9" x14ac:dyDescent="0.2">
      <c r="A47" s="102">
        <v>73</v>
      </c>
      <c r="B47" s="103">
        <v>440900</v>
      </c>
      <c r="C47" s="91">
        <v>71544.009999999995</v>
      </c>
      <c r="D47" s="103"/>
      <c r="E47" s="91">
        <v>40869.85</v>
      </c>
      <c r="F47" s="104"/>
      <c r="G47" s="100">
        <f t="shared" si="4"/>
        <v>112413.85999999999</v>
      </c>
      <c r="H47" s="100">
        <f t="shared" si="5"/>
        <v>0</v>
      </c>
      <c r="I47" s="110" t="s">
        <v>206</v>
      </c>
    </row>
    <row r="48" spans="1:9" x14ac:dyDescent="0.2">
      <c r="A48" s="102">
        <v>74</v>
      </c>
      <c r="B48" s="103">
        <v>440900</v>
      </c>
      <c r="C48" s="91">
        <v>71544.009999999995</v>
      </c>
      <c r="D48" s="103"/>
      <c r="E48" s="91">
        <v>40869.85</v>
      </c>
      <c r="F48" s="104"/>
      <c r="G48" s="100">
        <f t="shared" si="4"/>
        <v>112413.85999999999</v>
      </c>
      <c r="H48" s="100">
        <f t="shared" si="5"/>
        <v>0</v>
      </c>
      <c r="I48" s="110" t="s">
        <v>22</v>
      </c>
    </row>
    <row r="49" spans="1:9" x14ac:dyDescent="0.2">
      <c r="A49" s="102">
        <v>75</v>
      </c>
      <c r="B49" s="103">
        <v>440900</v>
      </c>
      <c r="C49" s="91">
        <v>71544.009999999995</v>
      </c>
      <c r="D49" s="103"/>
      <c r="E49" s="91">
        <v>40869.85</v>
      </c>
      <c r="F49" s="104"/>
      <c r="G49" s="100">
        <f t="shared" si="4"/>
        <v>112413.85999999999</v>
      </c>
      <c r="H49" s="100">
        <f t="shared" si="5"/>
        <v>0</v>
      </c>
      <c r="I49" s="110" t="s">
        <v>207</v>
      </c>
    </row>
    <row r="50" spans="1:9" x14ac:dyDescent="0.2">
      <c r="A50" s="102">
        <v>115</v>
      </c>
      <c r="B50" s="103">
        <v>480900</v>
      </c>
      <c r="C50" s="91">
        <v>78034.740000000005</v>
      </c>
      <c r="D50" s="103"/>
      <c r="E50" s="91">
        <v>44577.71</v>
      </c>
      <c r="F50" s="104"/>
      <c r="G50" s="100">
        <f t="shared" si="4"/>
        <v>122612.45000000001</v>
      </c>
      <c r="H50" s="100">
        <f t="shared" si="5"/>
        <v>0</v>
      </c>
      <c r="I50" s="110" t="s">
        <v>22</v>
      </c>
    </row>
    <row r="51" spans="1:9" x14ac:dyDescent="0.2">
      <c r="A51" s="102">
        <v>116</v>
      </c>
      <c r="B51" s="103">
        <v>440900</v>
      </c>
      <c r="C51" s="91">
        <v>71544.009999999995</v>
      </c>
      <c r="D51" s="103"/>
      <c r="E51" s="91">
        <v>40869.85</v>
      </c>
      <c r="F51" s="104"/>
      <c r="G51" s="100">
        <f t="shared" si="4"/>
        <v>112413.85999999999</v>
      </c>
      <c r="H51" s="100">
        <f t="shared" si="5"/>
        <v>0</v>
      </c>
      <c r="I51" s="110" t="s">
        <v>206</v>
      </c>
    </row>
    <row r="52" spans="1:9" x14ac:dyDescent="0.2">
      <c r="A52" s="102">
        <v>128</v>
      </c>
      <c r="B52" s="103">
        <v>440900</v>
      </c>
      <c r="C52" s="91">
        <v>71544.009999999995</v>
      </c>
      <c r="D52" s="103"/>
      <c r="E52" s="91">
        <v>40869.85</v>
      </c>
      <c r="F52" s="104"/>
      <c r="G52" s="100">
        <f t="shared" si="4"/>
        <v>112413.85999999999</v>
      </c>
      <c r="H52" s="100">
        <f t="shared" si="5"/>
        <v>0</v>
      </c>
      <c r="I52" s="110" t="s">
        <v>207</v>
      </c>
    </row>
    <row r="53" spans="1:9" x14ac:dyDescent="0.2">
      <c r="A53" s="102">
        <v>129</v>
      </c>
      <c r="B53" s="103">
        <v>282200</v>
      </c>
      <c r="C53" s="91">
        <v>45792.06</v>
      </c>
      <c r="D53" s="103"/>
      <c r="E53" s="91">
        <v>26158.93</v>
      </c>
      <c r="F53" s="104"/>
      <c r="G53" s="100">
        <f t="shared" si="4"/>
        <v>71950.989999999991</v>
      </c>
      <c r="H53" s="100">
        <f t="shared" si="5"/>
        <v>0</v>
      </c>
      <c r="I53" s="110" t="s">
        <v>208</v>
      </c>
    </row>
    <row r="54" spans="1:9" x14ac:dyDescent="0.2">
      <c r="A54" s="102">
        <v>131</v>
      </c>
      <c r="B54" s="103">
        <v>540200</v>
      </c>
      <c r="C54" s="91">
        <v>87657.24</v>
      </c>
      <c r="D54" s="103"/>
      <c r="E54" s="91">
        <v>50074.6</v>
      </c>
      <c r="F54" s="104"/>
      <c r="G54" s="100">
        <f t="shared" si="4"/>
        <v>137731.84</v>
      </c>
      <c r="H54" s="100">
        <f t="shared" si="5"/>
        <v>0</v>
      </c>
      <c r="I54" s="110" t="s">
        <v>207</v>
      </c>
    </row>
    <row r="55" spans="1:9" x14ac:dyDescent="0.2">
      <c r="A55" s="102">
        <v>136</v>
      </c>
      <c r="B55" s="103">
        <v>180400</v>
      </c>
      <c r="C55" s="91">
        <v>29273.17</v>
      </c>
      <c r="D55" s="103"/>
      <c r="E55" s="91">
        <v>16722.43</v>
      </c>
      <c r="F55" s="104"/>
      <c r="G55" s="100">
        <f>+C55+E55</f>
        <v>45995.6</v>
      </c>
      <c r="H55" s="100">
        <f t="shared" si="5"/>
        <v>0</v>
      </c>
    </row>
    <row r="56" spans="1:9" x14ac:dyDescent="0.2">
      <c r="A56" s="102">
        <v>137</v>
      </c>
      <c r="B56" s="103">
        <v>180400</v>
      </c>
      <c r="C56" s="91">
        <v>29273.17</v>
      </c>
      <c r="D56" s="103"/>
      <c r="E56" s="91">
        <v>16722.43</v>
      </c>
      <c r="F56" s="104"/>
      <c r="G56" s="100">
        <f t="shared" si="4"/>
        <v>45995.6</v>
      </c>
      <c r="H56" s="100">
        <f t="shared" si="5"/>
        <v>0</v>
      </c>
    </row>
    <row r="57" spans="1:9" x14ac:dyDescent="0.2">
      <c r="A57" s="102">
        <v>138</v>
      </c>
      <c r="B57" s="103">
        <v>440900</v>
      </c>
      <c r="C57" s="91">
        <v>71544.009999999995</v>
      </c>
      <c r="D57" s="103"/>
      <c r="E57" s="91">
        <v>40869.85</v>
      </c>
      <c r="F57" s="104"/>
      <c r="G57" s="100">
        <f t="shared" si="4"/>
        <v>112413.85999999999</v>
      </c>
      <c r="H57" s="100">
        <f t="shared" si="5"/>
        <v>0</v>
      </c>
      <c r="I57" s="110" t="s">
        <v>207</v>
      </c>
    </row>
    <row r="58" spans="1:9" x14ac:dyDescent="0.2">
      <c r="A58" s="102">
        <v>141</v>
      </c>
      <c r="B58" s="103">
        <v>192900</v>
      </c>
      <c r="C58" s="99">
        <v>31301.52</v>
      </c>
      <c r="D58" s="105"/>
      <c r="E58" s="91">
        <v>17881.14</v>
      </c>
      <c r="F58" s="104"/>
      <c r="G58" s="100">
        <f t="shared" si="4"/>
        <v>49182.66</v>
      </c>
      <c r="H58" s="100">
        <f t="shared" si="5"/>
        <v>0</v>
      </c>
    </row>
    <row r="59" spans="1:9" x14ac:dyDescent="0.2">
      <c r="A59" s="102">
        <v>142</v>
      </c>
      <c r="B59" s="103">
        <v>192900</v>
      </c>
      <c r="C59" s="99">
        <v>31301.52</v>
      </c>
      <c r="D59" s="105"/>
      <c r="E59" s="91">
        <v>17881.14</v>
      </c>
      <c r="F59" s="104"/>
      <c r="G59" s="100">
        <f t="shared" si="4"/>
        <v>49182.66</v>
      </c>
      <c r="H59" s="100">
        <f t="shared" si="5"/>
        <v>0</v>
      </c>
      <c r="I59" s="110" t="s">
        <v>207</v>
      </c>
    </row>
    <row r="60" spans="1:9" x14ac:dyDescent="0.2">
      <c r="A60" s="102">
        <v>143</v>
      </c>
      <c r="B60" s="103">
        <v>192900</v>
      </c>
      <c r="C60" s="99">
        <v>31301.52</v>
      </c>
      <c r="D60" s="105"/>
      <c r="E60" s="91">
        <v>17881.14</v>
      </c>
      <c r="F60" s="104"/>
      <c r="G60" s="100">
        <f t="shared" si="4"/>
        <v>49182.66</v>
      </c>
      <c r="H60" s="100">
        <f t="shared" si="5"/>
        <v>0</v>
      </c>
      <c r="I60" s="110" t="s">
        <v>207</v>
      </c>
    </row>
    <row r="61" spans="1:9" x14ac:dyDescent="0.2">
      <c r="A61" s="102">
        <v>144</v>
      </c>
      <c r="B61" s="103">
        <v>192900</v>
      </c>
      <c r="C61" s="99">
        <v>31301.52</v>
      </c>
      <c r="D61" s="105"/>
      <c r="E61" s="91">
        <v>17881.14</v>
      </c>
      <c r="F61" s="104"/>
      <c r="G61" s="100">
        <f t="shared" si="4"/>
        <v>49182.66</v>
      </c>
      <c r="H61" s="100">
        <f t="shared" si="5"/>
        <v>0</v>
      </c>
      <c r="I61" s="110" t="s">
        <v>19</v>
      </c>
    </row>
    <row r="62" spans="1:9" x14ac:dyDescent="0.2">
      <c r="A62" s="102">
        <v>145</v>
      </c>
      <c r="B62" s="103">
        <v>192900</v>
      </c>
      <c r="C62" s="99">
        <v>31301.52</v>
      </c>
      <c r="D62" s="105"/>
      <c r="E62" s="91">
        <v>17881.14</v>
      </c>
      <c r="F62" s="104"/>
      <c r="G62" s="100">
        <f t="shared" si="4"/>
        <v>49182.66</v>
      </c>
      <c r="H62" s="100">
        <f t="shared" si="5"/>
        <v>0</v>
      </c>
      <c r="I62" s="110" t="s">
        <v>19</v>
      </c>
    </row>
    <row r="63" spans="1:9" x14ac:dyDescent="0.2">
      <c r="A63" s="102">
        <v>152</v>
      </c>
      <c r="B63" s="103">
        <v>282200</v>
      </c>
      <c r="C63" s="91">
        <v>45792.06</v>
      </c>
      <c r="D63" s="103"/>
      <c r="E63" s="91">
        <v>26158.93</v>
      </c>
      <c r="F63" s="104"/>
      <c r="G63" s="100">
        <f t="shared" si="4"/>
        <v>71950.989999999991</v>
      </c>
      <c r="H63" s="100">
        <f t="shared" si="5"/>
        <v>0</v>
      </c>
      <c r="I63" s="110" t="s">
        <v>22</v>
      </c>
    </row>
    <row r="64" spans="1:9" x14ac:dyDescent="0.2">
      <c r="A64" s="102">
        <v>153</v>
      </c>
      <c r="B64" s="103">
        <v>282200</v>
      </c>
      <c r="C64" s="91">
        <v>45792.06</v>
      </c>
      <c r="D64" s="103"/>
      <c r="E64" s="91">
        <v>26158.93</v>
      </c>
      <c r="F64" s="104"/>
      <c r="G64" s="100">
        <f t="shared" si="4"/>
        <v>71950.989999999991</v>
      </c>
      <c r="H64" s="100">
        <f t="shared" si="5"/>
        <v>0</v>
      </c>
      <c r="I64" s="110" t="s">
        <v>22</v>
      </c>
    </row>
    <row r="65" spans="1:9" x14ac:dyDescent="0.2">
      <c r="A65" s="102">
        <v>154</v>
      </c>
      <c r="B65" s="103">
        <v>282200</v>
      </c>
      <c r="C65" s="91">
        <v>45792.06</v>
      </c>
      <c r="D65" s="103"/>
      <c r="E65" s="91">
        <v>26158.93</v>
      </c>
      <c r="F65" s="104"/>
      <c r="G65" s="100">
        <f t="shared" si="4"/>
        <v>71950.989999999991</v>
      </c>
      <c r="H65" s="100">
        <f t="shared" si="5"/>
        <v>0</v>
      </c>
      <c r="I65" s="110" t="s">
        <v>22</v>
      </c>
    </row>
    <row r="66" spans="1:9" x14ac:dyDescent="0.2">
      <c r="A66" s="102">
        <v>155</v>
      </c>
      <c r="B66" s="103">
        <v>440900</v>
      </c>
      <c r="C66" s="91">
        <v>71544.009999999995</v>
      </c>
      <c r="D66" s="103"/>
      <c r="E66" s="91">
        <v>40869.85</v>
      </c>
      <c r="F66" s="104"/>
      <c r="G66" s="100">
        <f t="shared" si="4"/>
        <v>112413.85999999999</v>
      </c>
      <c r="H66" s="100">
        <f t="shared" si="5"/>
        <v>0</v>
      </c>
      <c r="I66" s="110" t="s">
        <v>206</v>
      </c>
    </row>
    <row r="67" spans="1:9" x14ac:dyDescent="0.2">
      <c r="A67" s="102">
        <v>156</v>
      </c>
      <c r="B67" s="103">
        <v>440900</v>
      </c>
      <c r="C67" s="91">
        <v>71544.009999999995</v>
      </c>
      <c r="D67" s="103"/>
      <c r="E67" s="91">
        <v>40869.85</v>
      </c>
      <c r="F67" s="104"/>
      <c r="G67" s="100">
        <f t="shared" si="4"/>
        <v>112413.85999999999</v>
      </c>
      <c r="H67" s="100">
        <f t="shared" si="5"/>
        <v>0</v>
      </c>
      <c r="I67" s="110" t="s">
        <v>206</v>
      </c>
    </row>
    <row r="68" spans="1:9" x14ac:dyDescent="0.2">
      <c r="A68" s="102">
        <v>158</v>
      </c>
      <c r="B68" s="103">
        <v>192900</v>
      </c>
      <c r="C68" s="99">
        <v>31301.52</v>
      </c>
      <c r="D68" s="105"/>
      <c r="E68" s="91">
        <v>17881.14</v>
      </c>
      <c r="F68" s="104"/>
      <c r="G68" s="100">
        <f t="shared" si="4"/>
        <v>49182.66</v>
      </c>
      <c r="H68" s="100">
        <f t="shared" si="5"/>
        <v>0</v>
      </c>
      <c r="I68" s="110" t="s">
        <v>206</v>
      </c>
    </row>
    <row r="69" spans="1:9" x14ac:dyDescent="0.2">
      <c r="A69" s="102">
        <v>159</v>
      </c>
      <c r="B69" s="103">
        <v>192900</v>
      </c>
      <c r="C69" s="99">
        <v>31301.52</v>
      </c>
      <c r="D69" s="105"/>
      <c r="E69" s="91">
        <v>17881.14</v>
      </c>
      <c r="F69" s="104"/>
      <c r="G69" s="100">
        <f t="shared" si="4"/>
        <v>49182.66</v>
      </c>
      <c r="H69" s="100">
        <f t="shared" si="5"/>
        <v>0</v>
      </c>
      <c r="I69" s="110" t="s">
        <v>22</v>
      </c>
    </row>
    <row r="70" spans="1:9" x14ac:dyDescent="0.2">
      <c r="A70" s="102">
        <v>160</v>
      </c>
      <c r="B70" s="103">
        <v>192900</v>
      </c>
      <c r="C70" s="99">
        <v>31301.52</v>
      </c>
      <c r="D70" s="105"/>
      <c r="E70" s="91">
        <v>17881.14</v>
      </c>
      <c r="F70" s="104"/>
      <c r="G70" s="100">
        <f t="shared" si="4"/>
        <v>49182.66</v>
      </c>
      <c r="H70" s="100">
        <f t="shared" si="5"/>
        <v>0</v>
      </c>
      <c r="I70" s="110" t="s">
        <v>206</v>
      </c>
    </row>
    <row r="71" spans="1:9" x14ac:dyDescent="0.2">
      <c r="A71" s="102">
        <v>161</v>
      </c>
      <c r="B71" s="103">
        <v>192900</v>
      </c>
      <c r="C71" s="99">
        <v>31301.52</v>
      </c>
      <c r="D71" s="105"/>
      <c r="E71" s="91">
        <v>17881.14</v>
      </c>
      <c r="F71" s="104"/>
      <c r="G71" s="100">
        <f t="shared" si="4"/>
        <v>49182.66</v>
      </c>
      <c r="H71" s="100">
        <f t="shared" si="5"/>
        <v>0</v>
      </c>
      <c r="I71" s="110" t="s">
        <v>22</v>
      </c>
    </row>
    <row r="72" spans="1:9" x14ac:dyDescent="0.2">
      <c r="A72" s="102">
        <v>162</v>
      </c>
      <c r="B72" s="103">
        <v>192900</v>
      </c>
      <c r="C72" s="99">
        <v>31301.52</v>
      </c>
      <c r="D72" s="105"/>
      <c r="E72" s="91">
        <v>17881.14</v>
      </c>
      <c r="F72" s="104"/>
      <c r="G72" s="100">
        <f t="shared" si="4"/>
        <v>49182.66</v>
      </c>
      <c r="H72" s="100">
        <f t="shared" si="5"/>
        <v>0</v>
      </c>
      <c r="I72" s="110" t="s">
        <v>207</v>
      </c>
    </row>
    <row r="73" spans="1:9" x14ac:dyDescent="0.2">
      <c r="A73" s="102">
        <v>163</v>
      </c>
      <c r="B73" s="103">
        <v>180400</v>
      </c>
      <c r="C73" s="91">
        <v>29273.17</v>
      </c>
      <c r="D73" s="103"/>
      <c r="E73" s="91">
        <v>16722.43</v>
      </c>
      <c r="F73" s="104"/>
      <c r="G73" s="100">
        <f t="shared" si="4"/>
        <v>45995.6</v>
      </c>
      <c r="H73" s="100">
        <f t="shared" si="5"/>
        <v>0</v>
      </c>
    </row>
    <row r="74" spans="1:9" x14ac:dyDescent="0.2">
      <c r="A74" s="102">
        <v>164</v>
      </c>
      <c r="B74" s="103">
        <v>180400</v>
      </c>
      <c r="C74" s="91">
        <v>29273.17</v>
      </c>
      <c r="D74" s="103"/>
      <c r="E74" s="91">
        <v>16722.43</v>
      </c>
      <c r="F74" s="104"/>
      <c r="G74" s="100">
        <f t="shared" si="4"/>
        <v>45995.6</v>
      </c>
      <c r="H74" s="100">
        <f t="shared" si="5"/>
        <v>0</v>
      </c>
    </row>
    <row r="75" spans="1:9" x14ac:dyDescent="0.2">
      <c r="A75" s="102">
        <v>168</v>
      </c>
      <c r="B75" s="103">
        <v>440900</v>
      </c>
      <c r="C75" s="91">
        <v>71544.009999999995</v>
      </c>
      <c r="D75" s="103"/>
      <c r="E75" s="91">
        <v>40869.85</v>
      </c>
      <c r="F75" s="104"/>
      <c r="G75" s="100">
        <f t="shared" si="4"/>
        <v>112413.85999999999</v>
      </c>
      <c r="H75" s="100">
        <f t="shared" si="5"/>
        <v>0</v>
      </c>
      <c r="I75" s="110" t="s">
        <v>207</v>
      </c>
    </row>
    <row r="76" spans="1:9" x14ac:dyDescent="0.2">
      <c r="A76" s="102">
        <v>169</v>
      </c>
      <c r="B76" s="103">
        <v>440900</v>
      </c>
      <c r="C76" s="91">
        <v>71544.009999999995</v>
      </c>
      <c r="D76" s="103"/>
      <c r="E76" s="91">
        <v>40869.85</v>
      </c>
      <c r="F76" s="104"/>
      <c r="G76" s="100">
        <f t="shared" si="4"/>
        <v>112413.85999999999</v>
      </c>
      <c r="H76" s="100">
        <f t="shared" si="5"/>
        <v>0</v>
      </c>
      <c r="I76" s="110" t="s">
        <v>206</v>
      </c>
    </row>
    <row r="77" spans="1:9" x14ac:dyDescent="0.2">
      <c r="A77" s="102">
        <v>170</v>
      </c>
      <c r="B77" s="103">
        <v>440900</v>
      </c>
      <c r="C77" s="91">
        <v>71544.009999999995</v>
      </c>
      <c r="D77" s="103"/>
      <c r="E77" s="91">
        <v>40869.85</v>
      </c>
      <c r="F77" s="104"/>
      <c r="G77" s="100">
        <f t="shared" si="4"/>
        <v>112413.85999999999</v>
      </c>
      <c r="H77" s="100">
        <f t="shared" si="5"/>
        <v>0</v>
      </c>
      <c r="I77" s="110" t="s">
        <v>206</v>
      </c>
    </row>
    <row r="78" spans="1:9" x14ac:dyDescent="0.2">
      <c r="A78" s="102">
        <v>253</v>
      </c>
      <c r="B78" s="103">
        <v>192900</v>
      </c>
      <c r="C78" s="99">
        <v>31301.52</v>
      </c>
      <c r="D78" s="105"/>
      <c r="E78" s="91">
        <v>17881.14</v>
      </c>
      <c r="F78" s="104"/>
      <c r="G78" s="100">
        <f t="shared" si="4"/>
        <v>49182.66</v>
      </c>
      <c r="H78" s="100">
        <f t="shared" si="5"/>
        <v>0</v>
      </c>
      <c r="I78" s="110" t="s">
        <v>22</v>
      </c>
    </row>
    <row r="79" spans="1:9" x14ac:dyDescent="0.2">
      <c r="A79" s="102">
        <v>254</v>
      </c>
      <c r="B79" s="103">
        <v>192900</v>
      </c>
      <c r="C79" s="99">
        <v>31301.52</v>
      </c>
      <c r="D79" s="105"/>
      <c r="E79" s="91">
        <v>17881.14</v>
      </c>
      <c r="F79" s="104"/>
      <c r="G79" s="100">
        <f t="shared" si="4"/>
        <v>49182.66</v>
      </c>
      <c r="H79" s="100">
        <f t="shared" si="5"/>
        <v>0</v>
      </c>
      <c r="I79" s="110" t="s">
        <v>22</v>
      </c>
    </row>
    <row r="80" spans="1:9" x14ac:dyDescent="0.2">
      <c r="A80" s="102">
        <v>255</v>
      </c>
      <c r="B80" s="103">
        <v>192900</v>
      </c>
      <c r="C80" s="99">
        <v>31301.52</v>
      </c>
      <c r="D80" s="105"/>
      <c r="E80" s="91">
        <v>17881.14</v>
      </c>
      <c r="F80" s="104"/>
      <c r="G80" s="100">
        <f t="shared" si="4"/>
        <v>49182.66</v>
      </c>
      <c r="H80" s="100">
        <f t="shared" si="5"/>
        <v>0</v>
      </c>
      <c r="I80" s="110" t="s">
        <v>208</v>
      </c>
    </row>
    <row r="81" spans="1:9" x14ac:dyDescent="0.2">
      <c r="A81" s="102">
        <v>256</v>
      </c>
      <c r="B81" s="103">
        <v>192900</v>
      </c>
      <c r="C81" s="99">
        <v>31301.52</v>
      </c>
      <c r="D81" s="105"/>
      <c r="E81" s="91">
        <v>17881.14</v>
      </c>
      <c r="F81" s="104"/>
      <c r="G81" s="100">
        <f t="shared" si="4"/>
        <v>49182.66</v>
      </c>
      <c r="H81" s="100">
        <f t="shared" si="5"/>
        <v>0</v>
      </c>
      <c r="I81" s="110" t="s">
        <v>206</v>
      </c>
    </row>
    <row r="82" spans="1:9" x14ac:dyDescent="0.2">
      <c r="A82" s="102">
        <v>257</v>
      </c>
      <c r="B82" s="103">
        <v>192900</v>
      </c>
      <c r="C82" s="99">
        <v>31301.52</v>
      </c>
      <c r="D82" s="105"/>
      <c r="E82" s="91">
        <v>17881.14</v>
      </c>
      <c r="F82" s="104"/>
      <c r="G82" s="100">
        <f t="shared" si="4"/>
        <v>49182.66</v>
      </c>
      <c r="H82" s="100">
        <f t="shared" si="5"/>
        <v>0</v>
      </c>
      <c r="I82" s="110" t="s">
        <v>22</v>
      </c>
    </row>
    <row r="83" spans="1:9" x14ac:dyDescent="0.2">
      <c r="A83" s="102">
        <v>258</v>
      </c>
      <c r="B83" s="103">
        <v>180400</v>
      </c>
      <c r="C83" s="91">
        <v>29273.17</v>
      </c>
      <c r="D83" s="103"/>
      <c r="E83" s="91">
        <v>16722.43</v>
      </c>
      <c r="F83" s="104"/>
      <c r="G83" s="100">
        <f t="shared" si="4"/>
        <v>45995.6</v>
      </c>
      <c r="H83" s="100">
        <f t="shared" si="5"/>
        <v>0</v>
      </c>
    </row>
    <row r="84" spans="1:9" x14ac:dyDescent="0.2">
      <c r="A84" s="102">
        <v>259</v>
      </c>
      <c r="B84" s="103">
        <v>180400</v>
      </c>
      <c r="C84" s="91">
        <v>29273.17</v>
      </c>
      <c r="D84" s="103"/>
      <c r="E84" s="91">
        <v>16722.43</v>
      </c>
      <c r="F84" s="104"/>
      <c r="G84" s="100">
        <f t="shared" si="4"/>
        <v>45995.6</v>
      </c>
      <c r="H84" s="100">
        <f t="shared" si="5"/>
        <v>0</v>
      </c>
    </row>
    <row r="85" spans="1:9" x14ac:dyDescent="0.2">
      <c r="A85" s="102">
        <v>260</v>
      </c>
      <c r="B85" s="103">
        <v>282200</v>
      </c>
      <c r="C85" s="91">
        <v>45792.06</v>
      </c>
      <c r="D85" s="103"/>
      <c r="E85" s="91">
        <v>26158.93</v>
      </c>
      <c r="F85" s="104"/>
      <c r="G85" s="100">
        <f t="shared" si="4"/>
        <v>71950.989999999991</v>
      </c>
      <c r="H85" s="100">
        <f t="shared" si="5"/>
        <v>0</v>
      </c>
      <c r="I85" s="110" t="s">
        <v>208</v>
      </c>
    </row>
    <row r="86" spans="1:9" x14ac:dyDescent="0.2">
      <c r="A86" s="102">
        <v>261</v>
      </c>
      <c r="B86" s="103">
        <v>282200</v>
      </c>
      <c r="C86" s="91">
        <v>45792.06</v>
      </c>
      <c r="D86" s="103"/>
      <c r="E86" s="91">
        <v>26158.93</v>
      </c>
      <c r="F86" s="104"/>
      <c r="G86" s="100">
        <f t="shared" si="4"/>
        <v>71950.989999999991</v>
      </c>
      <c r="H86" s="100">
        <f t="shared" si="5"/>
        <v>0</v>
      </c>
      <c r="I86" s="110" t="s">
        <v>208</v>
      </c>
    </row>
    <row r="87" spans="1:9" x14ac:dyDescent="0.2">
      <c r="A87" s="102">
        <v>262</v>
      </c>
      <c r="B87" s="103">
        <v>282200</v>
      </c>
      <c r="C87" s="91">
        <v>45792.06</v>
      </c>
      <c r="D87" s="103"/>
      <c r="E87" s="91">
        <v>26158.93</v>
      </c>
      <c r="F87" s="104"/>
      <c r="G87" s="100">
        <f t="shared" si="4"/>
        <v>71950.989999999991</v>
      </c>
      <c r="H87" s="100">
        <f t="shared" si="5"/>
        <v>0</v>
      </c>
      <c r="I87" s="110" t="s">
        <v>208</v>
      </c>
    </row>
    <row r="88" spans="1:9" x14ac:dyDescent="0.2">
      <c r="A88" s="102">
        <v>263</v>
      </c>
      <c r="B88" s="103">
        <v>282200</v>
      </c>
      <c r="C88" s="91">
        <v>45792.06</v>
      </c>
      <c r="D88" s="103"/>
      <c r="E88" s="91">
        <v>26158.93</v>
      </c>
      <c r="F88" s="104"/>
      <c r="G88" s="100">
        <f t="shared" si="4"/>
        <v>71950.989999999991</v>
      </c>
      <c r="H88" s="100">
        <f t="shared" si="5"/>
        <v>0</v>
      </c>
      <c r="I88" s="110" t="s">
        <v>208</v>
      </c>
    </row>
    <row r="89" spans="1:9" x14ac:dyDescent="0.2">
      <c r="A89" s="102">
        <v>326</v>
      </c>
      <c r="B89" s="103">
        <v>700000</v>
      </c>
      <c r="C89" s="91">
        <v>113587.68</v>
      </c>
      <c r="D89" s="103"/>
      <c r="E89" s="91">
        <v>64887.49</v>
      </c>
      <c r="F89" s="104"/>
      <c r="G89" s="100">
        <f t="shared" si="4"/>
        <v>178475.16999999998</v>
      </c>
      <c r="H89" s="100">
        <f t="shared" si="5"/>
        <v>0</v>
      </c>
    </row>
    <row r="90" spans="1:9" x14ac:dyDescent="0.2">
      <c r="A90" s="102"/>
      <c r="B90" s="103"/>
      <c r="C90" s="103"/>
      <c r="D90" s="103"/>
      <c r="E90" s="103"/>
      <c r="F90" s="104"/>
      <c r="G90" s="100">
        <f t="shared" si="4"/>
        <v>0</v>
      </c>
      <c r="H90" s="100">
        <f t="shared" si="5"/>
        <v>0</v>
      </c>
    </row>
    <row r="91" spans="1:9" x14ac:dyDescent="0.2">
      <c r="A91" s="102"/>
      <c r="B91" s="103"/>
      <c r="C91" s="103"/>
      <c r="D91" s="103"/>
      <c r="E91" s="103"/>
      <c r="F91" s="104"/>
      <c r="G91" s="100">
        <f t="shared" si="4"/>
        <v>0</v>
      </c>
      <c r="H91" s="100">
        <f t="shared" si="5"/>
        <v>0</v>
      </c>
    </row>
    <row r="92" spans="1:9" x14ac:dyDescent="0.2">
      <c r="A92" s="102"/>
      <c r="B92" s="103"/>
      <c r="C92" s="103"/>
      <c r="D92" s="103"/>
      <c r="E92" s="103"/>
      <c r="F92" s="104"/>
      <c r="G92" s="100">
        <f t="shared" si="4"/>
        <v>0</v>
      </c>
      <c r="H92" s="100">
        <f t="shared" si="5"/>
        <v>0</v>
      </c>
    </row>
    <row r="93" spans="1:9" x14ac:dyDescent="0.2">
      <c r="A93" s="102"/>
      <c r="B93" s="103"/>
      <c r="C93" s="103"/>
      <c r="D93" s="103"/>
      <c r="E93" s="103"/>
      <c r="F93" s="104"/>
      <c r="G93" s="100">
        <f t="shared" si="4"/>
        <v>0</v>
      </c>
      <c r="H93" s="100">
        <f t="shared" si="5"/>
        <v>0</v>
      </c>
    </row>
    <row r="94" spans="1:9" x14ac:dyDescent="0.2">
      <c r="A94" s="89"/>
      <c r="B94" s="90"/>
      <c r="C94" s="90"/>
      <c r="D94" s="106">
        <f>+C94/12*7</f>
        <v>0</v>
      </c>
      <c r="E94" s="90"/>
      <c r="H94" s="94">
        <f>+D94+F94</f>
        <v>0</v>
      </c>
    </row>
    <row r="95" spans="1:9" x14ac:dyDescent="0.2">
      <c r="A95" s="89"/>
      <c r="B95" s="90">
        <f>SUM(B2:B94)</f>
        <v>28861669</v>
      </c>
      <c r="C95" s="90">
        <f>SUM(C2:C94)</f>
        <v>4683328.6099999947</v>
      </c>
      <c r="D95" s="90"/>
      <c r="E95" s="90">
        <f>SUM(E2:E94)</f>
        <v>2675373.3200000036</v>
      </c>
      <c r="G95" s="94">
        <f>SUM(G2:G94)</f>
        <v>7358701.9300000044</v>
      </c>
    </row>
    <row r="96" spans="1:9" hidden="1" x14ac:dyDescent="0.2"/>
    <row r="97" spans="1:8" hidden="1" x14ac:dyDescent="0.2">
      <c r="A97" s="108" t="s">
        <v>182</v>
      </c>
      <c r="B97" s="94">
        <f>+B95/5</f>
        <v>5772333.7999999998</v>
      </c>
    </row>
    <row r="98" spans="1:8" x14ac:dyDescent="0.2">
      <c r="H98" s="94">
        <f>+D98+F98</f>
        <v>0</v>
      </c>
    </row>
    <row r="99" spans="1:8" x14ac:dyDescent="0.2">
      <c r="H99" s="94">
        <f>+D99+F99</f>
        <v>0</v>
      </c>
    </row>
    <row r="101" spans="1:8" x14ac:dyDescent="0.2">
      <c r="E101" s="94">
        <f>SUBTOTAL(9,E33:E100)</f>
        <v>4507126.4400000013</v>
      </c>
    </row>
    <row r="103" spans="1:8" ht="18" x14ac:dyDescent="0.4">
      <c r="B103" s="109">
        <f>+B95+G95</f>
        <v>36220370.930000007</v>
      </c>
    </row>
  </sheetData>
  <autoFilter ref="A1:J95" xr:uid="{00000000-0009-0000-0000-00000B000000}"/>
  <customSheetViews>
    <customSheetView guid="{6C0BD6A7-6718-429D-82D9-D2FE0341EA2C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1"/>
      <autoFilter ref="A1:J95" xr:uid="{EB4C22FD-DC57-4360-9B38-85C549D75A76}"/>
    </customSheetView>
    <customSheetView guid="{594C4AB0-8D5F-4373-9663-410F4413FE3A}" showPageBreaks="1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2"/>
      <autoFilter ref="A1:J95" xr:uid="{F0532898-B161-402B-B243-95F8C109549B}"/>
    </customSheetView>
    <customSheetView guid="{DF69299D-7752-4436-A45D-28F739CEE21B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3"/>
      <autoFilter ref="A1:J95" xr:uid="{987C8854-5F9E-4BDA-BAAD-368F924DD671}"/>
    </customSheetView>
  </customSheetViews>
  <pageMargins left="0" right="0" top="0" bottom="0" header="0.31496062992125984" footer="0.31496062992125984"/>
  <pageSetup paperSize="9" scale="85" orientation="portrait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6:K35"/>
  <sheetViews>
    <sheetView topLeftCell="A7" workbookViewId="0">
      <selection activeCell="K13" sqref="K13"/>
    </sheetView>
  </sheetViews>
  <sheetFormatPr defaultRowHeight="12.5" x14ac:dyDescent="0.25"/>
  <cols>
    <col min="2" max="2" width="25.7265625" customWidth="1"/>
    <col min="3" max="3" width="6.81640625" bestFit="1" customWidth="1"/>
    <col min="4" max="4" width="40.453125" bestFit="1" customWidth="1"/>
    <col min="5" max="5" width="9.54296875" bestFit="1" customWidth="1"/>
    <col min="6" max="6" width="13.54296875" customWidth="1"/>
    <col min="7" max="7" width="9.7265625" bestFit="1" customWidth="1"/>
    <col min="8" max="8" width="12" bestFit="1" customWidth="1"/>
  </cols>
  <sheetData>
    <row r="6" spans="2:11" ht="13" x14ac:dyDescent="0.3">
      <c r="B6" s="127"/>
      <c r="C6" s="127"/>
      <c r="D6" s="128" t="s">
        <v>458</v>
      </c>
      <c r="E6" s="128"/>
      <c r="F6" s="128"/>
      <c r="G6" s="128"/>
      <c r="H6" s="127"/>
    </row>
    <row r="7" spans="2:11" ht="13" thickBot="1" x14ac:dyDescent="0.3">
      <c r="B7" s="127"/>
      <c r="C7" s="127"/>
      <c r="D7" s="127"/>
      <c r="E7" s="127"/>
      <c r="F7" s="127"/>
      <c r="G7" s="127"/>
      <c r="H7" s="127"/>
    </row>
    <row r="8" spans="2:11" ht="52.5" thickBot="1" x14ac:dyDescent="0.35">
      <c r="B8" s="129" t="s">
        <v>459</v>
      </c>
      <c r="C8" s="130" t="s">
        <v>460</v>
      </c>
      <c r="D8" s="131" t="s">
        <v>461</v>
      </c>
      <c r="E8" s="131" t="s">
        <v>462</v>
      </c>
      <c r="F8" s="131" t="s">
        <v>463</v>
      </c>
      <c r="G8" s="132" t="s">
        <v>464</v>
      </c>
      <c r="H8" s="127"/>
    </row>
    <row r="9" spans="2:11" ht="13" x14ac:dyDescent="0.3">
      <c r="B9" s="133" t="s">
        <v>465</v>
      </c>
      <c r="C9" s="134" t="s">
        <v>466</v>
      </c>
      <c r="D9" s="135">
        <v>211698</v>
      </c>
      <c r="E9" s="136" t="s">
        <v>467</v>
      </c>
      <c r="F9" s="137">
        <v>13295.81</v>
      </c>
      <c r="G9" s="138">
        <v>1632.82</v>
      </c>
      <c r="H9" s="139">
        <f>F9*12</f>
        <v>159549.72</v>
      </c>
      <c r="K9">
        <f>7094743.47+15800+785082.21+538137.08</f>
        <v>8433762.7599999998</v>
      </c>
    </row>
    <row r="10" spans="2:11" ht="13" x14ac:dyDescent="0.3">
      <c r="B10" s="133" t="s">
        <v>468</v>
      </c>
      <c r="C10" s="140" t="s">
        <v>469</v>
      </c>
      <c r="D10" s="135">
        <v>211699</v>
      </c>
      <c r="E10" s="136" t="s">
        <v>467</v>
      </c>
      <c r="F10" s="137">
        <v>13260.01</v>
      </c>
      <c r="G10" s="138">
        <v>1628.42</v>
      </c>
      <c r="H10" s="139">
        <f t="shared" ref="H10:H19" si="0">F10*12</f>
        <v>159120.12</v>
      </c>
      <c r="K10">
        <f>+K9+152743.88</f>
        <v>8586506.6400000006</v>
      </c>
    </row>
    <row r="11" spans="2:11" ht="13" x14ac:dyDescent="0.3">
      <c r="B11" s="133" t="s">
        <v>468</v>
      </c>
      <c r="C11" s="134" t="s">
        <v>470</v>
      </c>
      <c r="D11" s="135">
        <v>211701</v>
      </c>
      <c r="E11" s="136" t="s">
        <v>467</v>
      </c>
      <c r="F11" s="137">
        <v>15645.86</v>
      </c>
      <c r="G11" s="138">
        <v>1921.42</v>
      </c>
      <c r="H11" s="139">
        <f t="shared" si="0"/>
        <v>187750.32</v>
      </c>
      <c r="K11">
        <v>8721516.5399999991</v>
      </c>
    </row>
    <row r="12" spans="2:11" ht="13" x14ac:dyDescent="0.3">
      <c r="B12" s="133" t="s">
        <v>468</v>
      </c>
      <c r="C12" s="141" t="s">
        <v>471</v>
      </c>
      <c r="D12" s="135">
        <v>211704</v>
      </c>
      <c r="E12" s="136" t="s">
        <v>467</v>
      </c>
      <c r="F12" s="137">
        <v>12999.17</v>
      </c>
      <c r="G12" s="138">
        <v>1596.39</v>
      </c>
      <c r="H12" s="139">
        <f t="shared" si="0"/>
        <v>155990.04</v>
      </c>
      <c r="K12">
        <f>+K11-K10</f>
        <v>135009.89999999851</v>
      </c>
    </row>
    <row r="13" spans="2:11" ht="13" x14ac:dyDescent="0.3">
      <c r="B13" s="133" t="s">
        <v>468</v>
      </c>
      <c r="C13" s="141" t="s">
        <v>472</v>
      </c>
      <c r="D13" s="135">
        <v>211706</v>
      </c>
      <c r="E13" s="136" t="s">
        <v>467</v>
      </c>
      <c r="F13" s="137">
        <v>13362.3</v>
      </c>
      <c r="G13" s="138">
        <v>1640.98</v>
      </c>
      <c r="H13" s="139">
        <f t="shared" si="0"/>
        <v>160347.59999999998</v>
      </c>
    </row>
    <row r="14" spans="2:11" ht="13" x14ac:dyDescent="0.3">
      <c r="B14" s="133" t="s">
        <v>468</v>
      </c>
      <c r="C14" s="141" t="s">
        <v>473</v>
      </c>
      <c r="D14" s="135">
        <v>211708</v>
      </c>
      <c r="E14" s="136" t="s">
        <v>467</v>
      </c>
      <c r="F14" s="137">
        <v>14670.23</v>
      </c>
      <c r="G14" s="138">
        <v>1801.61</v>
      </c>
      <c r="H14" s="139">
        <f t="shared" si="0"/>
        <v>176042.76</v>
      </c>
    </row>
    <row r="15" spans="2:11" ht="13" x14ac:dyDescent="0.3">
      <c r="B15" s="133" t="s">
        <v>474</v>
      </c>
      <c r="C15" s="141" t="s">
        <v>475</v>
      </c>
      <c r="D15" s="135">
        <v>211722</v>
      </c>
      <c r="E15" s="136" t="s">
        <v>467</v>
      </c>
      <c r="F15" s="137">
        <v>6892.51</v>
      </c>
      <c r="G15" s="138">
        <v>846.45</v>
      </c>
      <c r="H15" s="139">
        <f t="shared" si="0"/>
        <v>82710.12</v>
      </c>
    </row>
    <row r="16" spans="2:11" ht="13" x14ac:dyDescent="0.3">
      <c r="B16" s="133" t="s">
        <v>476</v>
      </c>
      <c r="C16" s="141" t="s">
        <v>477</v>
      </c>
      <c r="D16" s="135">
        <v>211711</v>
      </c>
      <c r="E16" s="136" t="s">
        <v>467</v>
      </c>
      <c r="F16" s="137">
        <v>8221.42</v>
      </c>
      <c r="G16" s="138">
        <v>1009.65</v>
      </c>
      <c r="H16" s="139">
        <f t="shared" si="0"/>
        <v>98657.040000000008</v>
      </c>
    </row>
    <row r="17" spans="2:8" ht="13" x14ac:dyDescent="0.3">
      <c r="B17" s="133" t="s">
        <v>476</v>
      </c>
      <c r="C17" s="141" t="s">
        <v>478</v>
      </c>
      <c r="D17" s="135">
        <v>211712</v>
      </c>
      <c r="E17" s="136" t="s">
        <v>467</v>
      </c>
      <c r="F17" s="137">
        <v>10212.11</v>
      </c>
      <c r="G17" s="138">
        <v>1254.1199999999999</v>
      </c>
      <c r="H17" s="139">
        <f t="shared" si="0"/>
        <v>122545.32</v>
      </c>
    </row>
    <row r="18" spans="2:8" ht="13" x14ac:dyDescent="0.3">
      <c r="B18" s="133" t="s">
        <v>476</v>
      </c>
      <c r="C18" s="141" t="s">
        <v>479</v>
      </c>
      <c r="D18" s="135">
        <v>211716</v>
      </c>
      <c r="E18" s="136" t="s">
        <v>467</v>
      </c>
      <c r="F18" s="137">
        <v>9227.8799999999992</v>
      </c>
      <c r="G18" s="138">
        <v>1133.25</v>
      </c>
      <c r="H18" s="139">
        <f t="shared" si="0"/>
        <v>110734.56</v>
      </c>
    </row>
    <row r="19" spans="2:8" ht="13" x14ac:dyDescent="0.3">
      <c r="B19" s="142" t="s">
        <v>480</v>
      </c>
      <c r="C19" s="143" t="s">
        <v>481</v>
      </c>
      <c r="D19" s="135">
        <v>211721</v>
      </c>
      <c r="E19" s="136" t="s">
        <v>467</v>
      </c>
      <c r="F19" s="137">
        <v>12140.7</v>
      </c>
      <c r="G19" s="138">
        <v>1490.96</v>
      </c>
      <c r="H19" s="139">
        <f t="shared" si="0"/>
        <v>145688.40000000002</v>
      </c>
    </row>
    <row r="20" spans="2:8" ht="13.5" thickBot="1" x14ac:dyDescent="0.35">
      <c r="B20" s="144"/>
      <c r="C20" s="145"/>
      <c r="D20" s="146"/>
      <c r="E20" s="147"/>
      <c r="F20" s="148"/>
      <c r="G20" s="149"/>
      <c r="H20" s="127"/>
    </row>
    <row r="24" spans="2:8" ht="13" thickBot="1" x14ac:dyDescent="0.3">
      <c r="B24" s="150"/>
      <c r="C24" s="150"/>
      <c r="D24" s="150"/>
      <c r="E24" s="150"/>
      <c r="F24" s="150"/>
      <c r="G24" s="150"/>
      <c r="H24" s="150"/>
    </row>
    <row r="25" spans="2:8" ht="52.5" thickBot="1" x14ac:dyDescent="0.35">
      <c r="B25" s="151" t="s">
        <v>459</v>
      </c>
      <c r="C25" s="152" t="s">
        <v>460</v>
      </c>
      <c r="D25" s="153" t="s">
        <v>461</v>
      </c>
      <c r="E25" s="153" t="s">
        <v>462</v>
      </c>
      <c r="F25" s="153" t="s">
        <v>463</v>
      </c>
      <c r="G25" s="154" t="s">
        <v>464</v>
      </c>
      <c r="H25" s="150"/>
    </row>
    <row r="26" spans="2:8" ht="13" x14ac:dyDescent="0.3">
      <c r="B26" s="155" t="s">
        <v>482</v>
      </c>
      <c r="C26" s="156" t="s">
        <v>483</v>
      </c>
      <c r="D26" s="157">
        <v>211689</v>
      </c>
      <c r="E26" s="158" t="s">
        <v>467</v>
      </c>
      <c r="F26" s="159">
        <v>5418.79</v>
      </c>
      <c r="G26" s="160">
        <v>665.46</v>
      </c>
      <c r="H26" s="150">
        <f>F26*12</f>
        <v>65025.479999999996</v>
      </c>
    </row>
    <row r="27" spans="2:8" ht="13" x14ac:dyDescent="0.3">
      <c r="B27" s="155" t="s">
        <v>482</v>
      </c>
      <c r="C27" s="156" t="s">
        <v>484</v>
      </c>
      <c r="D27" s="157">
        <v>211696</v>
      </c>
      <c r="E27" s="158" t="s">
        <v>467</v>
      </c>
      <c r="F27" s="159">
        <v>4954.3900000000003</v>
      </c>
      <c r="G27" s="160">
        <v>608.42999999999995</v>
      </c>
      <c r="H27" s="150">
        <f t="shared" ref="H27:H33" si="1">F27*12</f>
        <v>59452.680000000008</v>
      </c>
    </row>
    <row r="28" spans="2:8" ht="13" x14ac:dyDescent="0.3">
      <c r="B28" s="155" t="s">
        <v>482</v>
      </c>
      <c r="C28" s="156" t="s">
        <v>485</v>
      </c>
      <c r="D28" s="157">
        <v>211702</v>
      </c>
      <c r="E28" s="158" t="s">
        <v>467</v>
      </c>
      <c r="F28" s="159">
        <v>5163.37</v>
      </c>
      <c r="G28" s="160">
        <v>634.1</v>
      </c>
      <c r="H28" s="150">
        <f t="shared" si="1"/>
        <v>61960.44</v>
      </c>
    </row>
    <row r="29" spans="2:8" ht="13" x14ac:dyDescent="0.3">
      <c r="B29" s="155" t="s">
        <v>486</v>
      </c>
      <c r="C29" s="156" t="s">
        <v>487</v>
      </c>
      <c r="D29" s="157">
        <v>211705</v>
      </c>
      <c r="E29" s="158" t="s">
        <v>467</v>
      </c>
      <c r="F29" s="159">
        <v>6998.47</v>
      </c>
      <c r="G29" s="160">
        <v>44.66</v>
      </c>
      <c r="H29" s="150">
        <f t="shared" si="1"/>
        <v>83981.64</v>
      </c>
    </row>
    <row r="30" spans="2:8" ht="13" x14ac:dyDescent="0.3">
      <c r="B30" s="155" t="s">
        <v>488</v>
      </c>
      <c r="C30" s="156" t="s">
        <v>489</v>
      </c>
      <c r="D30" s="157">
        <v>211710</v>
      </c>
      <c r="E30" s="158" t="s">
        <v>467</v>
      </c>
      <c r="F30" s="159">
        <v>2931.11</v>
      </c>
      <c r="G30" s="160">
        <v>40.42</v>
      </c>
      <c r="H30" s="150">
        <f t="shared" si="1"/>
        <v>35173.32</v>
      </c>
    </row>
    <row r="31" spans="2:8" ht="13" x14ac:dyDescent="0.3">
      <c r="B31" s="155" t="s">
        <v>490</v>
      </c>
      <c r="C31" s="156" t="s">
        <v>491</v>
      </c>
      <c r="D31" s="157">
        <v>211714</v>
      </c>
      <c r="E31" s="158" t="s">
        <v>467</v>
      </c>
      <c r="F31" s="159">
        <v>3684.87</v>
      </c>
      <c r="G31" s="160">
        <v>452.53</v>
      </c>
      <c r="H31" s="150">
        <f t="shared" si="1"/>
        <v>44218.44</v>
      </c>
    </row>
    <row r="32" spans="2:8" ht="13" x14ac:dyDescent="0.3">
      <c r="B32" s="155" t="s">
        <v>490</v>
      </c>
      <c r="C32" s="156" t="s">
        <v>492</v>
      </c>
      <c r="D32" s="157">
        <v>211718</v>
      </c>
      <c r="E32" s="158" t="s">
        <v>467</v>
      </c>
      <c r="F32" s="159">
        <v>3596.62</v>
      </c>
      <c r="G32" s="160">
        <v>441.69</v>
      </c>
      <c r="H32" s="150">
        <f t="shared" si="1"/>
        <v>43159.44</v>
      </c>
    </row>
    <row r="33" spans="2:8" ht="13" x14ac:dyDescent="0.3">
      <c r="B33" s="161" t="s">
        <v>490</v>
      </c>
      <c r="C33" s="162" t="s">
        <v>493</v>
      </c>
      <c r="D33" s="157">
        <v>211723</v>
      </c>
      <c r="E33" s="158" t="s">
        <v>467</v>
      </c>
      <c r="F33" s="159">
        <v>3437.09</v>
      </c>
      <c r="G33" s="160">
        <v>422.1</v>
      </c>
      <c r="H33" s="150">
        <f t="shared" si="1"/>
        <v>41245.08</v>
      </c>
    </row>
    <row r="34" spans="2:8" ht="13.5" thickBot="1" x14ac:dyDescent="0.35">
      <c r="B34" s="163"/>
      <c r="C34" s="164"/>
      <c r="D34" s="165"/>
      <c r="E34" s="166"/>
      <c r="F34" s="167"/>
      <c r="G34" s="168"/>
      <c r="H34" s="150"/>
    </row>
    <row r="35" spans="2:8" ht="13" x14ac:dyDescent="0.3">
      <c r="B35" s="169"/>
      <c r="C35" s="169"/>
      <c r="D35" s="170"/>
      <c r="E35" s="171"/>
      <c r="F35" s="169"/>
      <c r="G35" s="169"/>
      <c r="H35" s="171"/>
    </row>
  </sheetData>
  <customSheetViews>
    <customSheetView guid="{6C0BD6A7-6718-429D-82D9-D2FE0341EA2C}" topLeftCell="A7">
      <selection activeCell="K13" sqref="K13"/>
      <pageMargins left="0.7" right="0.7" top="0.75" bottom="0.75" header="0.3" footer="0.3"/>
      <pageSetup paperSize="9" orientation="portrait" r:id="rId1"/>
    </customSheetView>
    <customSheetView guid="{594C4AB0-8D5F-4373-9663-410F4413FE3A}" showPageBreaks="1" topLeftCell="A7">
      <selection activeCell="K13" sqref="K13"/>
      <pageMargins left="0.7" right="0.7" top="0.75" bottom="0.75" header="0.3" footer="0.3"/>
      <pageSetup paperSize="9" orientation="portrait" r:id="rId2"/>
    </customSheetView>
    <customSheetView guid="{DF69299D-7752-4436-A45D-28F739CEE21B}" topLeftCell="A7">
      <selection activeCell="K13" sqref="K13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E199"/>
  <sheetViews>
    <sheetView workbookViewId="0">
      <selection activeCell="C1" sqref="C1"/>
    </sheetView>
  </sheetViews>
  <sheetFormatPr defaultColWidth="9.1796875" defaultRowHeight="12" x14ac:dyDescent="0.2"/>
  <cols>
    <col min="1" max="1" width="5.453125" style="351" bestFit="1" customWidth="1"/>
    <col min="2" max="2" width="16" style="348" customWidth="1"/>
    <col min="3" max="3" width="7" style="348" bestFit="1" customWidth="1"/>
    <col min="4" max="4" width="11.26953125" style="352" bestFit="1" customWidth="1"/>
    <col min="5" max="5" width="12" style="352" bestFit="1" customWidth="1"/>
    <col min="6" max="6" width="13.7265625" style="348" bestFit="1" customWidth="1"/>
    <col min="7" max="16384" width="9.1796875" style="348"/>
  </cols>
  <sheetData>
    <row r="1" spans="1:5" x14ac:dyDescent="0.2">
      <c r="A1" s="355" t="s">
        <v>1441</v>
      </c>
      <c r="B1" s="349" t="s">
        <v>1442</v>
      </c>
      <c r="C1" s="349" t="s">
        <v>1443</v>
      </c>
      <c r="D1" s="350" t="s">
        <v>243</v>
      </c>
    </row>
    <row r="2" spans="1:5" x14ac:dyDescent="0.2">
      <c r="A2" s="351">
        <v>601</v>
      </c>
      <c r="B2" s="351">
        <v>11</v>
      </c>
      <c r="C2" s="351">
        <v>1231</v>
      </c>
      <c r="D2" s="352">
        <v>8826.64</v>
      </c>
      <c r="E2" s="352">
        <f>+D2*2</f>
        <v>17653.28</v>
      </c>
    </row>
    <row r="3" spans="1:5" x14ac:dyDescent="0.2">
      <c r="A3" s="351">
        <v>360</v>
      </c>
      <c r="B3" s="351">
        <v>258</v>
      </c>
      <c r="C3" s="351">
        <v>3301</v>
      </c>
      <c r="D3" s="352">
        <v>12353.75</v>
      </c>
      <c r="E3" s="352">
        <f t="shared" ref="E3:E66" si="0">+D3*2</f>
        <v>24707.5</v>
      </c>
    </row>
    <row r="4" spans="1:5" x14ac:dyDescent="0.2">
      <c r="A4" s="356" t="s">
        <v>255</v>
      </c>
      <c r="B4" s="351">
        <v>11</v>
      </c>
      <c r="C4" s="351">
        <v>1231</v>
      </c>
      <c r="D4" s="353">
        <v>10466.760234941759</v>
      </c>
      <c r="E4" s="352">
        <f t="shared" si="0"/>
        <v>20933.520469883519</v>
      </c>
    </row>
    <row r="5" spans="1:5" x14ac:dyDescent="0.2">
      <c r="A5" s="356" t="s">
        <v>255</v>
      </c>
      <c r="B5" s="351">
        <v>12</v>
      </c>
      <c r="C5" s="351">
        <v>3301</v>
      </c>
      <c r="D5" s="352">
        <v>8133.408597962416</v>
      </c>
      <c r="E5" s="352">
        <f t="shared" si="0"/>
        <v>16266.817195924832</v>
      </c>
    </row>
    <row r="6" spans="1:5" x14ac:dyDescent="0.2">
      <c r="A6" s="356" t="s">
        <v>259</v>
      </c>
      <c r="B6" s="351">
        <v>11</v>
      </c>
      <c r="C6" s="351">
        <v>1231</v>
      </c>
      <c r="D6" s="353">
        <v>10225.931772363818</v>
      </c>
      <c r="E6" s="352">
        <f t="shared" si="0"/>
        <v>20451.863544727636</v>
      </c>
    </row>
    <row r="7" spans="1:5" x14ac:dyDescent="0.2">
      <c r="A7" s="356" t="s">
        <v>259</v>
      </c>
      <c r="B7" s="351">
        <v>12</v>
      </c>
      <c r="C7" s="351">
        <v>3301</v>
      </c>
      <c r="D7" s="352">
        <v>7946.2679504078396</v>
      </c>
      <c r="E7" s="352">
        <f t="shared" si="0"/>
        <v>15892.535900815679</v>
      </c>
    </row>
    <row r="8" spans="1:5" x14ac:dyDescent="0.2">
      <c r="A8" s="356" t="s">
        <v>261</v>
      </c>
      <c r="B8" s="351">
        <v>11</v>
      </c>
      <c r="C8" s="351">
        <v>1231</v>
      </c>
      <c r="D8" s="353">
        <v>10225.931772363818</v>
      </c>
      <c r="E8" s="352">
        <f t="shared" si="0"/>
        <v>20451.863544727636</v>
      </c>
    </row>
    <row r="9" spans="1:5" x14ac:dyDescent="0.2">
      <c r="A9" s="356" t="s">
        <v>261</v>
      </c>
      <c r="B9" s="351">
        <v>12</v>
      </c>
      <c r="C9" s="351">
        <v>3301</v>
      </c>
      <c r="D9" s="352">
        <v>7946.2679504078396</v>
      </c>
      <c r="E9" s="352">
        <f t="shared" si="0"/>
        <v>15892.535900815679</v>
      </c>
    </row>
    <row r="10" spans="1:5" x14ac:dyDescent="0.2">
      <c r="A10" s="356" t="s">
        <v>263</v>
      </c>
      <c r="B10" s="351">
        <v>11</v>
      </c>
      <c r="C10" s="351">
        <v>1231</v>
      </c>
      <c r="D10" s="353">
        <v>10225.931772363818</v>
      </c>
      <c r="E10" s="352">
        <f t="shared" si="0"/>
        <v>20451.863544727636</v>
      </c>
    </row>
    <row r="11" spans="1:5" x14ac:dyDescent="0.2">
      <c r="A11" s="356" t="s">
        <v>263</v>
      </c>
      <c r="B11" s="351">
        <v>12</v>
      </c>
      <c r="C11" s="351">
        <v>3301</v>
      </c>
      <c r="D11" s="352">
        <v>7946.2679504078396</v>
      </c>
      <c r="E11" s="352">
        <f t="shared" si="0"/>
        <v>15892.535900815679</v>
      </c>
    </row>
    <row r="12" spans="1:5" x14ac:dyDescent="0.2">
      <c r="A12" s="356" t="s">
        <v>278</v>
      </c>
      <c r="B12" s="351">
        <v>11</v>
      </c>
      <c r="C12" s="351">
        <v>1231</v>
      </c>
      <c r="D12" s="353">
        <v>10225.931772363818</v>
      </c>
      <c r="E12" s="352">
        <f t="shared" si="0"/>
        <v>20451.863544727636</v>
      </c>
    </row>
    <row r="13" spans="1:5" x14ac:dyDescent="0.2">
      <c r="A13" s="356" t="s">
        <v>278</v>
      </c>
      <c r="B13" s="351">
        <v>12</v>
      </c>
      <c r="C13" s="351">
        <v>3301</v>
      </c>
      <c r="D13" s="352">
        <v>7946.2679504078396</v>
      </c>
      <c r="E13" s="352">
        <f t="shared" si="0"/>
        <v>15892.535900815679</v>
      </c>
    </row>
    <row r="14" spans="1:5" x14ac:dyDescent="0.2">
      <c r="A14" s="356" t="s">
        <v>355</v>
      </c>
      <c r="B14" s="351">
        <v>11</v>
      </c>
      <c r="C14" s="351">
        <v>1231</v>
      </c>
      <c r="D14" s="353">
        <v>10225.931772363818</v>
      </c>
      <c r="E14" s="352">
        <f t="shared" si="0"/>
        <v>20451.863544727636</v>
      </c>
    </row>
    <row r="15" spans="1:5" x14ac:dyDescent="0.2">
      <c r="A15" s="356" t="s">
        <v>355</v>
      </c>
      <c r="B15" s="351">
        <v>12</v>
      </c>
      <c r="C15" s="351">
        <v>3301</v>
      </c>
      <c r="D15" s="352">
        <v>7946.2679504078396</v>
      </c>
      <c r="E15" s="352">
        <f t="shared" si="0"/>
        <v>15892.535900815679</v>
      </c>
    </row>
    <row r="16" spans="1:5" x14ac:dyDescent="0.2">
      <c r="A16" s="356" t="s">
        <v>268</v>
      </c>
      <c r="B16" s="351">
        <v>11</v>
      </c>
      <c r="C16" s="351">
        <v>1231</v>
      </c>
      <c r="D16" s="353">
        <v>9790.6340541931149</v>
      </c>
      <c r="E16" s="352">
        <f t="shared" si="0"/>
        <v>19581.26810838623</v>
      </c>
    </row>
    <row r="17" spans="1:5" x14ac:dyDescent="0.2">
      <c r="A17" s="356" t="s">
        <v>268</v>
      </c>
      <c r="B17" s="351">
        <v>12</v>
      </c>
      <c r="C17" s="351">
        <v>3301</v>
      </c>
      <c r="D17" s="352">
        <v>7608.01101854236</v>
      </c>
      <c r="E17" s="352">
        <f t="shared" si="0"/>
        <v>15216.02203708472</v>
      </c>
    </row>
    <row r="18" spans="1:5" x14ac:dyDescent="0.2">
      <c r="A18" s="356" t="s">
        <v>271</v>
      </c>
      <c r="B18" s="351">
        <v>11</v>
      </c>
      <c r="C18" s="351">
        <v>1231</v>
      </c>
      <c r="D18" s="353">
        <v>9790.6340541931149</v>
      </c>
      <c r="E18" s="352">
        <f t="shared" si="0"/>
        <v>19581.26810838623</v>
      </c>
    </row>
    <row r="19" spans="1:5" x14ac:dyDescent="0.2">
      <c r="A19" s="356" t="s">
        <v>271</v>
      </c>
      <c r="B19" s="351">
        <v>12</v>
      </c>
      <c r="C19" s="351">
        <v>3301</v>
      </c>
      <c r="D19" s="352">
        <v>7608.01101854236</v>
      </c>
      <c r="E19" s="352">
        <f t="shared" si="0"/>
        <v>15216.02203708472</v>
      </c>
    </row>
    <row r="20" spans="1:5" x14ac:dyDescent="0.2">
      <c r="A20" s="356" t="s">
        <v>272</v>
      </c>
      <c r="B20" s="351">
        <v>11</v>
      </c>
      <c r="C20" s="351">
        <v>1231</v>
      </c>
      <c r="D20" s="353">
        <v>9790.6340541931149</v>
      </c>
      <c r="E20" s="352">
        <f t="shared" si="0"/>
        <v>19581.26810838623</v>
      </c>
    </row>
    <row r="21" spans="1:5" x14ac:dyDescent="0.2">
      <c r="A21" s="356" t="s">
        <v>272</v>
      </c>
      <c r="B21" s="351">
        <v>12</v>
      </c>
      <c r="C21" s="351">
        <v>3301</v>
      </c>
      <c r="D21" s="352">
        <v>7608.01101854236</v>
      </c>
      <c r="E21" s="352">
        <f t="shared" si="0"/>
        <v>15216.02203708472</v>
      </c>
    </row>
    <row r="22" spans="1:5" x14ac:dyDescent="0.2">
      <c r="A22" s="356" t="s">
        <v>274</v>
      </c>
      <c r="B22" s="351">
        <v>11</v>
      </c>
      <c r="C22" s="351">
        <v>1231</v>
      </c>
      <c r="D22" s="353">
        <v>9790.6340541931149</v>
      </c>
      <c r="E22" s="352">
        <f t="shared" si="0"/>
        <v>19581.26810838623</v>
      </c>
    </row>
    <row r="23" spans="1:5" x14ac:dyDescent="0.2">
      <c r="A23" s="356" t="s">
        <v>274</v>
      </c>
      <c r="B23" s="351">
        <v>12</v>
      </c>
      <c r="C23" s="351">
        <v>3301</v>
      </c>
      <c r="D23" s="352">
        <v>7608.01101854236</v>
      </c>
      <c r="E23" s="352">
        <f t="shared" si="0"/>
        <v>15216.02203708472</v>
      </c>
    </row>
    <row r="24" spans="1:5" x14ac:dyDescent="0.2">
      <c r="A24" s="356" t="s">
        <v>276</v>
      </c>
      <c r="B24" s="351">
        <v>11</v>
      </c>
      <c r="C24" s="351">
        <v>1231</v>
      </c>
      <c r="D24" s="353">
        <v>9790.6340541931149</v>
      </c>
      <c r="E24" s="352">
        <f t="shared" si="0"/>
        <v>19581.26810838623</v>
      </c>
    </row>
    <row r="25" spans="1:5" x14ac:dyDescent="0.2">
      <c r="A25" s="356" t="s">
        <v>276</v>
      </c>
      <c r="B25" s="351">
        <v>12</v>
      </c>
      <c r="C25" s="351">
        <v>3301</v>
      </c>
      <c r="D25" s="352">
        <v>7608.01101854236</v>
      </c>
      <c r="E25" s="352">
        <f t="shared" si="0"/>
        <v>15216.02203708472</v>
      </c>
    </row>
    <row r="26" spans="1:5" x14ac:dyDescent="0.2">
      <c r="A26" s="356" t="s">
        <v>277</v>
      </c>
      <c r="B26" s="351">
        <v>11</v>
      </c>
      <c r="C26" s="351">
        <v>1231</v>
      </c>
      <c r="D26" s="353">
        <v>9790.6340541931149</v>
      </c>
      <c r="E26" s="352">
        <f t="shared" si="0"/>
        <v>19581.26810838623</v>
      </c>
    </row>
    <row r="27" spans="1:5" x14ac:dyDescent="0.2">
      <c r="A27" s="356" t="s">
        <v>277</v>
      </c>
      <c r="B27" s="351">
        <v>12</v>
      </c>
      <c r="C27" s="351">
        <v>3301</v>
      </c>
      <c r="D27" s="352">
        <v>7608.01101854236</v>
      </c>
      <c r="E27" s="352">
        <f t="shared" si="0"/>
        <v>15216.02203708472</v>
      </c>
    </row>
    <row r="28" spans="1:5" x14ac:dyDescent="0.2">
      <c r="A28" s="356" t="s">
        <v>280</v>
      </c>
      <c r="B28" s="351">
        <v>11</v>
      </c>
      <c r="C28" s="351">
        <v>1231</v>
      </c>
      <c r="D28" s="353">
        <v>9790.6340541931149</v>
      </c>
      <c r="E28" s="352">
        <f t="shared" si="0"/>
        <v>19581.26810838623</v>
      </c>
    </row>
    <row r="29" spans="1:5" x14ac:dyDescent="0.2">
      <c r="A29" s="356" t="s">
        <v>280</v>
      </c>
      <c r="B29" s="351">
        <v>12</v>
      </c>
      <c r="C29" s="351">
        <v>3301</v>
      </c>
      <c r="D29" s="352">
        <v>7608.01101854236</v>
      </c>
      <c r="E29" s="352">
        <f t="shared" si="0"/>
        <v>15216.02203708472</v>
      </c>
    </row>
    <row r="30" spans="1:5" x14ac:dyDescent="0.2">
      <c r="A30" s="356" t="s">
        <v>338</v>
      </c>
      <c r="B30" s="351">
        <v>11</v>
      </c>
      <c r="C30" s="351">
        <v>1231</v>
      </c>
      <c r="D30" s="353">
        <v>9790.6340541931149</v>
      </c>
      <c r="E30" s="352">
        <f t="shared" si="0"/>
        <v>19581.26810838623</v>
      </c>
    </row>
    <row r="31" spans="1:5" x14ac:dyDescent="0.2">
      <c r="A31" s="356" t="s">
        <v>338</v>
      </c>
      <c r="B31" s="351">
        <v>12</v>
      </c>
      <c r="C31" s="351">
        <v>3301</v>
      </c>
      <c r="D31" s="352">
        <v>7608.01101854236</v>
      </c>
      <c r="E31" s="352">
        <f t="shared" si="0"/>
        <v>15216.02203708472</v>
      </c>
    </row>
    <row r="32" spans="1:5" x14ac:dyDescent="0.2">
      <c r="A32" s="356" t="s">
        <v>340</v>
      </c>
      <c r="B32" s="351">
        <v>11</v>
      </c>
      <c r="C32" s="351">
        <v>1231</v>
      </c>
      <c r="D32" s="353">
        <v>9790.6340541931149</v>
      </c>
      <c r="E32" s="352">
        <f t="shared" si="0"/>
        <v>19581.26810838623</v>
      </c>
    </row>
    <row r="33" spans="1:5" x14ac:dyDescent="0.2">
      <c r="A33" s="356" t="s">
        <v>340</v>
      </c>
      <c r="B33" s="351">
        <v>12</v>
      </c>
      <c r="C33" s="351">
        <v>3301</v>
      </c>
      <c r="D33" s="352">
        <v>7608.01101854236</v>
      </c>
      <c r="E33" s="352">
        <f t="shared" si="0"/>
        <v>15216.02203708472</v>
      </c>
    </row>
    <row r="34" spans="1:5" x14ac:dyDescent="0.2">
      <c r="A34" s="356" t="s">
        <v>342</v>
      </c>
      <c r="B34" s="351">
        <v>11</v>
      </c>
      <c r="C34" s="351">
        <v>1231</v>
      </c>
      <c r="D34" s="353">
        <v>9790.6340541931149</v>
      </c>
      <c r="E34" s="352">
        <f t="shared" si="0"/>
        <v>19581.26810838623</v>
      </c>
    </row>
    <row r="35" spans="1:5" x14ac:dyDescent="0.2">
      <c r="A35" s="356" t="s">
        <v>342</v>
      </c>
      <c r="B35" s="351">
        <v>12</v>
      </c>
      <c r="C35" s="351">
        <v>3301</v>
      </c>
      <c r="D35" s="352">
        <v>7608.01101854236</v>
      </c>
      <c r="E35" s="352">
        <f t="shared" si="0"/>
        <v>15216.02203708472</v>
      </c>
    </row>
    <row r="36" spans="1:5" x14ac:dyDescent="0.2">
      <c r="A36" s="356" t="s">
        <v>344</v>
      </c>
      <c r="B36" s="351">
        <v>11</v>
      </c>
      <c r="C36" s="351">
        <v>1231</v>
      </c>
      <c r="D36" s="353">
        <v>9790.6340541931149</v>
      </c>
      <c r="E36" s="352">
        <f t="shared" si="0"/>
        <v>19581.26810838623</v>
      </c>
    </row>
    <row r="37" spans="1:5" x14ac:dyDescent="0.2">
      <c r="A37" s="356" t="s">
        <v>344</v>
      </c>
      <c r="B37" s="351">
        <v>12</v>
      </c>
      <c r="C37" s="351">
        <v>3301</v>
      </c>
      <c r="D37" s="352">
        <v>7608.01101854236</v>
      </c>
      <c r="E37" s="352">
        <f t="shared" si="0"/>
        <v>15216.02203708472</v>
      </c>
    </row>
    <row r="38" spans="1:5" x14ac:dyDescent="0.2">
      <c r="A38" s="356" t="s">
        <v>357</v>
      </c>
      <c r="B38" s="351">
        <v>11</v>
      </c>
      <c r="C38" s="351">
        <v>1231</v>
      </c>
      <c r="D38" s="353">
        <v>9790.6340541931149</v>
      </c>
      <c r="E38" s="352">
        <f t="shared" si="0"/>
        <v>19581.26810838623</v>
      </c>
    </row>
    <row r="39" spans="1:5" x14ac:dyDescent="0.2">
      <c r="A39" s="356" t="s">
        <v>357</v>
      </c>
      <c r="B39" s="351">
        <v>12</v>
      </c>
      <c r="C39" s="351">
        <v>3301</v>
      </c>
      <c r="D39" s="352">
        <v>7608.01101854236</v>
      </c>
      <c r="E39" s="352">
        <f t="shared" si="0"/>
        <v>15216.02203708472</v>
      </c>
    </row>
    <row r="40" spans="1:5" x14ac:dyDescent="0.2">
      <c r="A40" s="356" t="s">
        <v>359</v>
      </c>
      <c r="B40" s="351">
        <v>11</v>
      </c>
      <c r="C40" s="351">
        <v>1231</v>
      </c>
      <c r="D40" s="353">
        <v>9790.6340541931149</v>
      </c>
      <c r="E40" s="352">
        <f t="shared" si="0"/>
        <v>19581.26810838623</v>
      </c>
    </row>
    <row r="41" spans="1:5" x14ac:dyDescent="0.2">
      <c r="A41" s="356" t="s">
        <v>359</v>
      </c>
      <c r="B41" s="351">
        <v>12</v>
      </c>
      <c r="C41" s="351">
        <v>3301</v>
      </c>
      <c r="D41" s="352">
        <v>7608.01101854236</v>
      </c>
      <c r="E41" s="352">
        <f t="shared" si="0"/>
        <v>15216.02203708472</v>
      </c>
    </row>
    <row r="42" spans="1:5" x14ac:dyDescent="0.2">
      <c r="A42" s="356" t="s">
        <v>361</v>
      </c>
      <c r="B42" s="351">
        <v>11</v>
      </c>
      <c r="C42" s="351">
        <v>1231</v>
      </c>
      <c r="D42" s="353">
        <v>9790.6340541931149</v>
      </c>
      <c r="E42" s="352">
        <f t="shared" si="0"/>
        <v>19581.26810838623</v>
      </c>
    </row>
    <row r="43" spans="1:5" x14ac:dyDescent="0.2">
      <c r="A43" s="356" t="s">
        <v>361</v>
      </c>
      <c r="B43" s="351">
        <v>12</v>
      </c>
      <c r="C43" s="351">
        <v>3301</v>
      </c>
      <c r="D43" s="352">
        <v>7608.01101854236</v>
      </c>
      <c r="E43" s="352">
        <f t="shared" si="0"/>
        <v>15216.02203708472</v>
      </c>
    </row>
    <row r="44" spans="1:5" x14ac:dyDescent="0.2">
      <c r="A44" s="356" t="s">
        <v>363</v>
      </c>
      <c r="B44" s="351">
        <v>11</v>
      </c>
      <c r="C44" s="351">
        <v>1231</v>
      </c>
      <c r="D44" s="353">
        <v>9790.6340541931149</v>
      </c>
      <c r="E44" s="352">
        <f t="shared" si="0"/>
        <v>19581.26810838623</v>
      </c>
    </row>
    <row r="45" spans="1:5" x14ac:dyDescent="0.2">
      <c r="A45" s="356" t="s">
        <v>363</v>
      </c>
      <c r="B45" s="351">
        <v>12</v>
      </c>
      <c r="C45" s="351">
        <v>3301</v>
      </c>
      <c r="D45" s="352">
        <v>7608.01101854236</v>
      </c>
      <c r="E45" s="352">
        <f t="shared" si="0"/>
        <v>15216.02203708472</v>
      </c>
    </row>
    <row r="46" spans="1:5" x14ac:dyDescent="0.2">
      <c r="A46" s="356" t="s">
        <v>371</v>
      </c>
      <c r="B46" s="351">
        <v>11</v>
      </c>
      <c r="C46" s="351">
        <v>1231</v>
      </c>
      <c r="D46" s="353">
        <v>9790.6340541931149</v>
      </c>
      <c r="E46" s="352">
        <f t="shared" si="0"/>
        <v>19581.26810838623</v>
      </c>
    </row>
    <row r="47" spans="1:5" x14ac:dyDescent="0.2">
      <c r="A47" s="356" t="s">
        <v>371</v>
      </c>
      <c r="B47" s="351">
        <v>12</v>
      </c>
      <c r="C47" s="351">
        <v>3301</v>
      </c>
      <c r="D47" s="352">
        <v>7608.01101854236</v>
      </c>
      <c r="E47" s="352">
        <f t="shared" si="0"/>
        <v>15216.02203708472</v>
      </c>
    </row>
    <row r="48" spans="1:5" x14ac:dyDescent="0.2">
      <c r="A48" s="356" t="s">
        <v>373</v>
      </c>
      <c r="B48" s="351">
        <v>11</v>
      </c>
      <c r="C48" s="351">
        <v>1231</v>
      </c>
      <c r="D48" s="353">
        <v>9790.6340541931149</v>
      </c>
      <c r="E48" s="352">
        <f t="shared" si="0"/>
        <v>19581.26810838623</v>
      </c>
    </row>
    <row r="49" spans="1:5" x14ac:dyDescent="0.2">
      <c r="A49" s="356" t="s">
        <v>373</v>
      </c>
      <c r="B49" s="351">
        <v>12</v>
      </c>
      <c r="C49" s="351">
        <v>3301</v>
      </c>
      <c r="D49" s="352">
        <v>7608.01101854236</v>
      </c>
      <c r="E49" s="352">
        <f t="shared" si="0"/>
        <v>15216.02203708472</v>
      </c>
    </row>
    <row r="50" spans="1:5" x14ac:dyDescent="0.2">
      <c r="A50" s="356" t="s">
        <v>375</v>
      </c>
      <c r="B50" s="351">
        <v>11</v>
      </c>
      <c r="C50" s="351">
        <v>1231</v>
      </c>
      <c r="D50" s="353">
        <v>9790.6340541931149</v>
      </c>
      <c r="E50" s="352">
        <f t="shared" si="0"/>
        <v>19581.26810838623</v>
      </c>
    </row>
    <row r="51" spans="1:5" x14ac:dyDescent="0.2">
      <c r="A51" s="356" t="s">
        <v>375</v>
      </c>
      <c r="B51" s="351">
        <v>12</v>
      </c>
      <c r="C51" s="351">
        <v>3301</v>
      </c>
      <c r="D51" s="352">
        <v>7608.01101854236</v>
      </c>
      <c r="E51" s="352">
        <f t="shared" si="0"/>
        <v>15216.02203708472</v>
      </c>
    </row>
    <row r="52" spans="1:5" x14ac:dyDescent="0.2">
      <c r="A52" s="356" t="s">
        <v>377</v>
      </c>
      <c r="B52" s="351">
        <v>11</v>
      </c>
      <c r="C52" s="351">
        <v>1231</v>
      </c>
      <c r="D52" s="353">
        <v>9790.6340541931149</v>
      </c>
      <c r="E52" s="352">
        <f t="shared" si="0"/>
        <v>19581.26810838623</v>
      </c>
    </row>
    <row r="53" spans="1:5" x14ac:dyDescent="0.2">
      <c r="A53" s="356" t="s">
        <v>377</v>
      </c>
      <c r="B53" s="351">
        <v>12</v>
      </c>
      <c r="C53" s="351">
        <v>3301</v>
      </c>
      <c r="D53" s="352">
        <v>7608.01101854236</v>
      </c>
      <c r="E53" s="352">
        <f t="shared" si="0"/>
        <v>15216.02203708472</v>
      </c>
    </row>
    <row r="54" spans="1:5" x14ac:dyDescent="0.2">
      <c r="A54" s="356" t="s">
        <v>379</v>
      </c>
      <c r="B54" s="351">
        <v>11</v>
      </c>
      <c r="C54" s="351">
        <v>1231</v>
      </c>
      <c r="D54" s="353">
        <v>9790.6340541931149</v>
      </c>
      <c r="E54" s="352">
        <f t="shared" si="0"/>
        <v>19581.26810838623</v>
      </c>
    </row>
    <row r="55" spans="1:5" x14ac:dyDescent="0.2">
      <c r="A55" s="356" t="s">
        <v>379</v>
      </c>
      <c r="B55" s="351">
        <v>12</v>
      </c>
      <c r="C55" s="351">
        <v>3301</v>
      </c>
      <c r="D55" s="352">
        <v>7608.01101854236</v>
      </c>
      <c r="E55" s="352">
        <f t="shared" si="0"/>
        <v>15216.02203708472</v>
      </c>
    </row>
    <row r="56" spans="1:5" x14ac:dyDescent="0.2">
      <c r="A56" s="356" t="s">
        <v>282</v>
      </c>
      <c r="B56" s="351">
        <v>11</v>
      </c>
      <c r="C56" s="351">
        <v>1231</v>
      </c>
      <c r="D56" s="353">
        <v>15191.366797735376</v>
      </c>
      <c r="E56" s="352">
        <f t="shared" si="0"/>
        <v>30382.733595470752</v>
      </c>
    </row>
    <row r="57" spans="1:5" x14ac:dyDescent="0.2">
      <c r="A57" s="356" t="s">
        <v>282</v>
      </c>
      <c r="B57" s="351">
        <v>12</v>
      </c>
      <c r="C57" s="351">
        <v>3301</v>
      </c>
      <c r="D57" s="352">
        <v>11804.760074184429</v>
      </c>
      <c r="E57" s="352">
        <f t="shared" si="0"/>
        <v>23609.520148368858</v>
      </c>
    </row>
    <row r="58" spans="1:5" x14ac:dyDescent="0.2">
      <c r="A58" s="356" t="s">
        <v>213</v>
      </c>
      <c r="B58" s="351">
        <v>11</v>
      </c>
      <c r="C58" s="351">
        <v>1231</v>
      </c>
      <c r="D58" s="353">
        <v>15191.366797735376</v>
      </c>
      <c r="E58" s="352">
        <f t="shared" si="0"/>
        <v>30382.733595470752</v>
      </c>
    </row>
    <row r="59" spans="1:5" x14ac:dyDescent="0.2">
      <c r="A59" s="356" t="s">
        <v>213</v>
      </c>
      <c r="B59" s="351">
        <v>12</v>
      </c>
      <c r="C59" s="351">
        <v>3301</v>
      </c>
      <c r="D59" s="352">
        <v>11804.760074184429</v>
      </c>
      <c r="E59" s="352">
        <f t="shared" si="0"/>
        <v>23609.520148368858</v>
      </c>
    </row>
    <row r="60" spans="1:5" x14ac:dyDescent="0.2">
      <c r="A60" s="356" t="s">
        <v>214</v>
      </c>
      <c r="B60" s="351">
        <v>11</v>
      </c>
      <c r="C60" s="351">
        <v>1231</v>
      </c>
      <c r="D60" s="353">
        <v>15191.366797735376</v>
      </c>
      <c r="E60" s="352">
        <f t="shared" si="0"/>
        <v>30382.733595470752</v>
      </c>
    </row>
    <row r="61" spans="1:5" x14ac:dyDescent="0.2">
      <c r="A61" s="356" t="s">
        <v>214</v>
      </c>
      <c r="B61" s="351">
        <v>12</v>
      </c>
      <c r="C61" s="351">
        <v>3301</v>
      </c>
      <c r="D61" s="352">
        <v>11804.760074184429</v>
      </c>
      <c r="E61" s="352">
        <f t="shared" si="0"/>
        <v>23609.520148368858</v>
      </c>
    </row>
    <row r="62" spans="1:5" x14ac:dyDescent="0.2">
      <c r="A62" s="356" t="s">
        <v>215</v>
      </c>
      <c r="B62" s="351">
        <v>11</v>
      </c>
      <c r="C62" s="351">
        <v>1231</v>
      </c>
      <c r="D62" s="353">
        <v>15191.366797735376</v>
      </c>
      <c r="E62" s="352">
        <f t="shared" si="0"/>
        <v>30382.733595470752</v>
      </c>
    </row>
    <row r="63" spans="1:5" x14ac:dyDescent="0.2">
      <c r="A63" s="356" t="s">
        <v>215</v>
      </c>
      <c r="B63" s="351">
        <v>12</v>
      </c>
      <c r="C63" s="351">
        <v>3301</v>
      </c>
      <c r="D63" s="352">
        <v>11804.760074184429</v>
      </c>
      <c r="E63" s="352">
        <f t="shared" si="0"/>
        <v>23609.520148368858</v>
      </c>
    </row>
    <row r="64" spans="1:5" x14ac:dyDescent="0.2">
      <c r="A64" s="356" t="s">
        <v>216</v>
      </c>
      <c r="B64" s="351">
        <v>11</v>
      </c>
      <c r="C64" s="351">
        <v>1231</v>
      </c>
      <c r="D64" s="353">
        <v>15191.366797735376</v>
      </c>
      <c r="E64" s="352">
        <f t="shared" si="0"/>
        <v>30382.733595470752</v>
      </c>
    </row>
    <row r="65" spans="1:5" x14ac:dyDescent="0.2">
      <c r="A65" s="356" t="s">
        <v>216</v>
      </c>
      <c r="B65" s="351">
        <v>12</v>
      </c>
      <c r="C65" s="351">
        <v>3301</v>
      </c>
      <c r="D65" s="352">
        <v>11804.760074184429</v>
      </c>
      <c r="E65" s="352">
        <f t="shared" si="0"/>
        <v>23609.520148368858</v>
      </c>
    </row>
    <row r="66" spans="1:5" x14ac:dyDescent="0.2">
      <c r="A66" s="356" t="s">
        <v>217</v>
      </c>
      <c r="B66" s="351">
        <v>11</v>
      </c>
      <c r="C66" s="351">
        <v>1231</v>
      </c>
      <c r="D66" s="353">
        <v>15191.366797735376</v>
      </c>
      <c r="E66" s="352">
        <f t="shared" si="0"/>
        <v>30382.733595470752</v>
      </c>
    </row>
    <row r="67" spans="1:5" x14ac:dyDescent="0.2">
      <c r="A67" s="356" t="s">
        <v>217</v>
      </c>
      <c r="B67" s="351">
        <v>12</v>
      </c>
      <c r="C67" s="351">
        <v>3301</v>
      </c>
      <c r="D67" s="352">
        <v>11804.760074184429</v>
      </c>
      <c r="E67" s="352">
        <f t="shared" ref="E67:E130" si="1">+D67*2</f>
        <v>23609.520148368858</v>
      </c>
    </row>
    <row r="68" spans="1:5" x14ac:dyDescent="0.2">
      <c r="A68" s="356" t="s">
        <v>218</v>
      </c>
      <c r="B68" s="351">
        <v>11</v>
      </c>
      <c r="C68" s="351">
        <v>1231</v>
      </c>
      <c r="D68" s="353">
        <v>15191.366797735376</v>
      </c>
      <c r="E68" s="352">
        <f t="shared" si="1"/>
        <v>30382.733595470752</v>
      </c>
    </row>
    <row r="69" spans="1:5" x14ac:dyDescent="0.2">
      <c r="A69" s="356" t="s">
        <v>218</v>
      </c>
      <c r="B69" s="351">
        <v>12</v>
      </c>
      <c r="C69" s="351">
        <v>3301</v>
      </c>
      <c r="D69" s="352">
        <v>11804.760074184429</v>
      </c>
      <c r="E69" s="352">
        <f t="shared" si="1"/>
        <v>23609.520148368858</v>
      </c>
    </row>
    <row r="70" spans="1:5" x14ac:dyDescent="0.2">
      <c r="A70" s="356" t="s">
        <v>219</v>
      </c>
      <c r="B70" s="351">
        <v>11</v>
      </c>
      <c r="C70" s="351">
        <v>1231</v>
      </c>
      <c r="D70" s="353">
        <v>15191.366797735376</v>
      </c>
      <c r="E70" s="352">
        <f t="shared" si="1"/>
        <v>30382.733595470752</v>
      </c>
    </row>
    <row r="71" spans="1:5" x14ac:dyDescent="0.2">
      <c r="A71" s="356" t="s">
        <v>219</v>
      </c>
      <c r="B71" s="351">
        <v>12</v>
      </c>
      <c r="C71" s="351">
        <v>3301</v>
      </c>
      <c r="D71" s="352">
        <v>11804.760074184429</v>
      </c>
      <c r="E71" s="352">
        <f t="shared" si="1"/>
        <v>23609.520148368858</v>
      </c>
    </row>
    <row r="72" spans="1:5" x14ac:dyDescent="0.2">
      <c r="A72" s="356" t="s">
        <v>220</v>
      </c>
      <c r="B72" s="351">
        <v>11</v>
      </c>
      <c r="C72" s="351">
        <v>1231</v>
      </c>
      <c r="D72" s="353">
        <v>15191.366797735376</v>
      </c>
      <c r="E72" s="352">
        <f t="shared" si="1"/>
        <v>30382.733595470752</v>
      </c>
    </row>
    <row r="73" spans="1:5" x14ac:dyDescent="0.2">
      <c r="A73" s="356" t="s">
        <v>220</v>
      </c>
      <c r="B73" s="351">
        <v>12</v>
      </c>
      <c r="C73" s="351">
        <v>3301</v>
      </c>
      <c r="D73" s="352">
        <v>11804.760074184429</v>
      </c>
      <c r="E73" s="352">
        <f t="shared" si="1"/>
        <v>23609.520148368858</v>
      </c>
    </row>
    <row r="74" spans="1:5" x14ac:dyDescent="0.2">
      <c r="A74" s="356" t="s">
        <v>221</v>
      </c>
      <c r="B74" s="351">
        <v>11</v>
      </c>
      <c r="C74" s="351">
        <v>1231</v>
      </c>
      <c r="D74" s="353">
        <v>15191.366797735376</v>
      </c>
      <c r="E74" s="352">
        <f t="shared" si="1"/>
        <v>30382.733595470752</v>
      </c>
    </row>
    <row r="75" spans="1:5" x14ac:dyDescent="0.2">
      <c r="A75" s="356" t="s">
        <v>221</v>
      </c>
      <c r="B75" s="351">
        <v>12</v>
      </c>
      <c r="C75" s="351">
        <v>3301</v>
      </c>
      <c r="D75" s="352">
        <v>11804.760074184429</v>
      </c>
      <c r="E75" s="352">
        <f t="shared" si="1"/>
        <v>23609.520148368858</v>
      </c>
    </row>
    <row r="76" spans="1:5" x14ac:dyDescent="0.2">
      <c r="A76" s="356" t="s">
        <v>222</v>
      </c>
      <c r="B76" s="351">
        <v>11</v>
      </c>
      <c r="C76" s="351">
        <v>1231</v>
      </c>
      <c r="D76" s="353">
        <v>15191.366797735376</v>
      </c>
      <c r="E76" s="352">
        <f t="shared" si="1"/>
        <v>30382.733595470752</v>
      </c>
    </row>
    <row r="77" spans="1:5" x14ac:dyDescent="0.2">
      <c r="A77" s="356" t="s">
        <v>222</v>
      </c>
      <c r="B77" s="351">
        <v>12</v>
      </c>
      <c r="C77" s="351">
        <v>3301</v>
      </c>
      <c r="D77" s="352">
        <v>11804.760074184429</v>
      </c>
      <c r="E77" s="352">
        <f t="shared" si="1"/>
        <v>23609.520148368858</v>
      </c>
    </row>
    <row r="78" spans="1:5" x14ac:dyDescent="0.2">
      <c r="A78" s="356" t="s">
        <v>223</v>
      </c>
      <c r="B78" s="351">
        <v>11</v>
      </c>
      <c r="C78" s="351">
        <v>1231</v>
      </c>
      <c r="D78" s="353">
        <v>15191.366797735376</v>
      </c>
      <c r="E78" s="352">
        <f t="shared" si="1"/>
        <v>30382.733595470752</v>
      </c>
    </row>
    <row r="79" spans="1:5" x14ac:dyDescent="0.2">
      <c r="A79" s="356" t="s">
        <v>223</v>
      </c>
      <c r="B79" s="351">
        <v>12</v>
      </c>
      <c r="C79" s="351">
        <v>3301</v>
      </c>
      <c r="D79" s="352">
        <v>11804.760074184429</v>
      </c>
      <c r="E79" s="352">
        <f t="shared" si="1"/>
        <v>23609.520148368858</v>
      </c>
    </row>
    <row r="80" spans="1:5" x14ac:dyDescent="0.2">
      <c r="A80" s="356" t="s">
        <v>224</v>
      </c>
      <c r="B80" s="351">
        <v>11</v>
      </c>
      <c r="C80" s="351">
        <v>1231</v>
      </c>
      <c r="D80" s="353">
        <v>15191.366797735376</v>
      </c>
      <c r="E80" s="352">
        <f t="shared" si="1"/>
        <v>30382.733595470752</v>
      </c>
    </row>
    <row r="81" spans="1:5" x14ac:dyDescent="0.2">
      <c r="A81" s="356" t="s">
        <v>224</v>
      </c>
      <c r="B81" s="351">
        <v>12</v>
      </c>
      <c r="C81" s="351">
        <v>3301</v>
      </c>
      <c r="D81" s="352">
        <v>11804.760074184429</v>
      </c>
      <c r="E81" s="352">
        <f t="shared" si="1"/>
        <v>23609.520148368858</v>
      </c>
    </row>
    <row r="82" spans="1:5" x14ac:dyDescent="0.2">
      <c r="A82" s="356" t="s">
        <v>225</v>
      </c>
      <c r="B82" s="351">
        <v>11</v>
      </c>
      <c r="C82" s="351">
        <v>1231</v>
      </c>
      <c r="D82" s="353">
        <v>15191.366797735376</v>
      </c>
      <c r="E82" s="352">
        <f t="shared" si="1"/>
        <v>30382.733595470752</v>
      </c>
    </row>
    <row r="83" spans="1:5" x14ac:dyDescent="0.2">
      <c r="A83" s="356" t="s">
        <v>225</v>
      </c>
      <c r="B83" s="351">
        <v>12</v>
      </c>
      <c r="C83" s="351">
        <v>3301</v>
      </c>
      <c r="D83" s="352">
        <v>11804.760074184429</v>
      </c>
      <c r="E83" s="352">
        <f t="shared" si="1"/>
        <v>23609.520148368858</v>
      </c>
    </row>
    <row r="84" spans="1:5" x14ac:dyDescent="0.2">
      <c r="A84" s="356" t="s">
        <v>265</v>
      </c>
      <c r="B84" s="351">
        <v>11</v>
      </c>
      <c r="C84" s="351">
        <v>1231</v>
      </c>
      <c r="D84" s="353">
        <v>27587.708711982585</v>
      </c>
      <c r="E84" s="352">
        <f t="shared" si="1"/>
        <v>55175.417423965169</v>
      </c>
    </row>
    <row r="85" spans="1:5" x14ac:dyDescent="0.2">
      <c r="A85" s="356" t="s">
        <v>265</v>
      </c>
      <c r="B85" s="351">
        <v>12</v>
      </c>
      <c r="C85" s="351">
        <v>3301</v>
      </c>
      <c r="D85" s="352">
        <v>21437.589301707201</v>
      </c>
      <c r="E85" s="352">
        <f t="shared" si="1"/>
        <v>42875.178603414402</v>
      </c>
    </row>
    <row r="86" spans="1:5" x14ac:dyDescent="0.2">
      <c r="A86" s="356" t="s">
        <v>279</v>
      </c>
      <c r="B86" s="351">
        <v>11</v>
      </c>
      <c r="C86" s="351">
        <v>1231</v>
      </c>
      <c r="D86" s="353">
        <v>13793.832591105383</v>
      </c>
      <c r="E86" s="352">
        <f t="shared" si="1"/>
        <v>27587.665182210767</v>
      </c>
    </row>
    <row r="87" spans="1:5" x14ac:dyDescent="0.2">
      <c r="A87" s="356" t="s">
        <v>279</v>
      </c>
      <c r="B87" s="351">
        <v>12</v>
      </c>
      <c r="C87" s="351">
        <v>3301</v>
      </c>
      <c r="D87" s="352">
        <v>10718.777738007007</v>
      </c>
      <c r="E87" s="352">
        <f t="shared" si="1"/>
        <v>21437.555476014015</v>
      </c>
    </row>
    <row r="88" spans="1:5" x14ac:dyDescent="0.2">
      <c r="A88" s="356" t="s">
        <v>299</v>
      </c>
      <c r="B88" s="351">
        <v>11</v>
      </c>
      <c r="C88" s="351">
        <v>1231</v>
      </c>
      <c r="D88" s="353">
        <v>13793.876120877201</v>
      </c>
      <c r="E88" s="352">
        <f t="shared" si="1"/>
        <v>27587.752241754402</v>
      </c>
    </row>
    <row r="89" spans="1:5" x14ac:dyDescent="0.2">
      <c r="A89" s="356" t="s">
        <v>299</v>
      </c>
      <c r="B89" s="351">
        <v>12</v>
      </c>
      <c r="C89" s="351">
        <v>3301</v>
      </c>
      <c r="D89" s="352">
        <v>10718.811563700194</v>
      </c>
      <c r="E89" s="352">
        <f t="shared" si="1"/>
        <v>21437.623127400388</v>
      </c>
    </row>
    <row r="90" spans="1:5" x14ac:dyDescent="0.2">
      <c r="A90" s="356" t="s">
        <v>346</v>
      </c>
      <c r="B90" s="351">
        <v>11</v>
      </c>
      <c r="C90" s="351">
        <v>1231</v>
      </c>
      <c r="D90" s="353">
        <v>13793.876120877201</v>
      </c>
      <c r="E90" s="352">
        <f t="shared" si="1"/>
        <v>27587.752241754402</v>
      </c>
    </row>
    <row r="91" spans="1:5" x14ac:dyDescent="0.2">
      <c r="A91" s="356" t="s">
        <v>346</v>
      </c>
      <c r="B91" s="351">
        <v>12</v>
      </c>
      <c r="C91" s="351">
        <v>3301</v>
      </c>
      <c r="D91" s="352">
        <v>10718.811563700194</v>
      </c>
      <c r="E91" s="352">
        <f t="shared" si="1"/>
        <v>21437.623127400388</v>
      </c>
    </row>
    <row r="92" spans="1:5" x14ac:dyDescent="0.2">
      <c r="A92" s="356" t="s">
        <v>348</v>
      </c>
      <c r="B92" s="351">
        <v>11</v>
      </c>
      <c r="C92" s="351">
        <v>1231</v>
      </c>
      <c r="D92" s="353">
        <v>13793.876120877201</v>
      </c>
      <c r="E92" s="352">
        <f t="shared" si="1"/>
        <v>27587.752241754402</v>
      </c>
    </row>
    <row r="93" spans="1:5" x14ac:dyDescent="0.2">
      <c r="A93" s="356" t="s">
        <v>348</v>
      </c>
      <c r="B93" s="351">
        <v>12</v>
      </c>
      <c r="C93" s="351">
        <v>3301</v>
      </c>
      <c r="D93" s="352">
        <v>10718.811563700194</v>
      </c>
      <c r="E93" s="352">
        <f t="shared" si="1"/>
        <v>21437.623127400388</v>
      </c>
    </row>
    <row r="94" spans="1:5" x14ac:dyDescent="0.2">
      <c r="A94" s="356" t="s">
        <v>349</v>
      </c>
      <c r="B94" s="351">
        <v>11</v>
      </c>
      <c r="C94" s="351">
        <v>1231</v>
      </c>
      <c r="D94" s="353">
        <v>13793.832591105383</v>
      </c>
      <c r="E94" s="352">
        <f t="shared" si="1"/>
        <v>27587.665182210767</v>
      </c>
    </row>
    <row r="95" spans="1:5" x14ac:dyDescent="0.2">
      <c r="A95" s="356" t="s">
        <v>349</v>
      </c>
      <c r="B95" s="351">
        <v>12</v>
      </c>
      <c r="C95" s="351">
        <v>3301</v>
      </c>
      <c r="D95" s="352">
        <v>10718.777738007007</v>
      </c>
      <c r="E95" s="352">
        <f t="shared" si="1"/>
        <v>21437.555476014015</v>
      </c>
    </row>
    <row r="96" spans="1:5" x14ac:dyDescent="0.2">
      <c r="A96" s="356" t="s">
        <v>300</v>
      </c>
      <c r="B96" s="351">
        <v>11</v>
      </c>
      <c r="C96" s="351">
        <v>1231</v>
      </c>
      <c r="D96" s="353">
        <v>14421.024053369669</v>
      </c>
      <c r="E96" s="352">
        <f t="shared" si="1"/>
        <v>28842.048106739338</v>
      </c>
    </row>
    <row r="97" spans="1:5" x14ac:dyDescent="0.2">
      <c r="A97" s="356" t="s">
        <v>300</v>
      </c>
      <c r="B97" s="351">
        <v>12</v>
      </c>
      <c r="C97" s="351">
        <v>3301</v>
      </c>
      <c r="D97" s="352">
        <v>11206.149600669854</v>
      </c>
      <c r="E97" s="352">
        <f t="shared" si="1"/>
        <v>22412.299201339709</v>
      </c>
    </row>
    <row r="98" spans="1:5" x14ac:dyDescent="0.2">
      <c r="A98" s="356" t="s">
        <v>286</v>
      </c>
      <c r="B98" s="351">
        <v>11</v>
      </c>
      <c r="C98" s="351">
        <v>1231</v>
      </c>
      <c r="D98" s="353">
        <v>19751.034218472803</v>
      </c>
      <c r="E98" s="352">
        <f t="shared" si="1"/>
        <v>39502.068436945607</v>
      </c>
    </row>
    <row r="99" spans="1:5" x14ac:dyDescent="0.2">
      <c r="A99" s="356" t="s">
        <v>286</v>
      </c>
      <c r="B99" s="351">
        <v>12</v>
      </c>
      <c r="C99" s="351">
        <v>3301</v>
      </c>
      <c r="D99" s="352">
        <v>15347.942240512253</v>
      </c>
      <c r="E99" s="352">
        <f t="shared" si="1"/>
        <v>30695.884481024506</v>
      </c>
    </row>
    <row r="100" spans="1:5" x14ac:dyDescent="0.2">
      <c r="A100" s="356" t="s">
        <v>289</v>
      </c>
      <c r="B100" s="351">
        <v>11</v>
      </c>
      <c r="C100" s="351">
        <v>1231</v>
      </c>
      <c r="D100" s="353">
        <v>19751.034218472803</v>
      </c>
      <c r="E100" s="352">
        <f t="shared" si="1"/>
        <v>39502.068436945607</v>
      </c>
    </row>
    <row r="101" spans="1:5" x14ac:dyDescent="0.2">
      <c r="A101" s="356" t="s">
        <v>289</v>
      </c>
      <c r="B101" s="351">
        <v>12</v>
      </c>
      <c r="C101" s="351">
        <v>3301</v>
      </c>
      <c r="D101" s="352">
        <v>15347.942240512253</v>
      </c>
      <c r="E101" s="352">
        <f t="shared" si="1"/>
        <v>30695.884481024506</v>
      </c>
    </row>
    <row r="102" spans="1:5" x14ac:dyDescent="0.2">
      <c r="A102" s="356" t="s">
        <v>351</v>
      </c>
      <c r="B102" s="351">
        <v>11</v>
      </c>
      <c r="C102" s="351">
        <v>1231</v>
      </c>
      <c r="D102" s="353">
        <v>13973.801596041749</v>
      </c>
      <c r="E102" s="352">
        <f t="shared" si="1"/>
        <v>27947.603192083498</v>
      </c>
    </row>
    <row r="103" spans="1:5" x14ac:dyDescent="0.2">
      <c r="A103" s="356" t="s">
        <v>351</v>
      </c>
      <c r="B103" s="351">
        <v>12</v>
      </c>
      <c r="C103" s="351">
        <v>3301</v>
      </c>
      <c r="D103" s="352">
        <v>10858.626308076437</v>
      </c>
      <c r="E103" s="352">
        <f t="shared" si="1"/>
        <v>21717.252616152873</v>
      </c>
    </row>
    <row r="104" spans="1:5" x14ac:dyDescent="0.2">
      <c r="A104" s="356" t="s">
        <v>353</v>
      </c>
      <c r="B104" s="351">
        <v>11</v>
      </c>
      <c r="C104" s="351">
        <v>1231</v>
      </c>
      <c r="D104" s="353">
        <v>13973.801596041749</v>
      </c>
      <c r="E104" s="352">
        <f t="shared" si="1"/>
        <v>27947.603192083498</v>
      </c>
    </row>
    <row r="105" spans="1:5" x14ac:dyDescent="0.2">
      <c r="A105" s="356" t="s">
        <v>353</v>
      </c>
      <c r="B105" s="351">
        <v>12</v>
      </c>
      <c r="C105" s="351">
        <v>3301</v>
      </c>
      <c r="D105" s="352">
        <v>10858.626308076437</v>
      </c>
      <c r="E105" s="352">
        <f t="shared" si="1"/>
        <v>21717.252616152873</v>
      </c>
    </row>
    <row r="106" spans="1:5" x14ac:dyDescent="0.2">
      <c r="A106" s="356" t="s">
        <v>388</v>
      </c>
      <c r="B106" s="351">
        <v>11</v>
      </c>
      <c r="C106" s="351">
        <v>1231</v>
      </c>
      <c r="D106" s="353">
        <v>13973.801596041749</v>
      </c>
      <c r="E106" s="352">
        <f t="shared" si="1"/>
        <v>27947.603192083498</v>
      </c>
    </row>
    <row r="107" spans="1:5" x14ac:dyDescent="0.2">
      <c r="A107" s="356" t="s">
        <v>388</v>
      </c>
      <c r="B107" s="351">
        <v>12</v>
      </c>
      <c r="C107" s="351">
        <v>3301</v>
      </c>
      <c r="D107" s="352">
        <v>10858.626308076437</v>
      </c>
      <c r="E107" s="352">
        <f t="shared" si="1"/>
        <v>21717.252616152873</v>
      </c>
    </row>
    <row r="108" spans="1:5" x14ac:dyDescent="0.2">
      <c r="A108" s="356" t="s">
        <v>390</v>
      </c>
      <c r="B108" s="351">
        <v>11</v>
      </c>
      <c r="C108" s="351">
        <v>1231</v>
      </c>
      <c r="D108" s="353">
        <v>13973.801596041749</v>
      </c>
      <c r="E108" s="352">
        <f t="shared" si="1"/>
        <v>27947.603192083498</v>
      </c>
    </row>
    <row r="109" spans="1:5" x14ac:dyDescent="0.2">
      <c r="A109" s="356" t="s">
        <v>390</v>
      </c>
      <c r="B109" s="351">
        <v>12</v>
      </c>
      <c r="C109" s="351">
        <v>3301</v>
      </c>
      <c r="D109" s="352">
        <v>10858.626308076437</v>
      </c>
      <c r="E109" s="352">
        <f t="shared" si="1"/>
        <v>21717.252616152873</v>
      </c>
    </row>
    <row r="110" spans="1:5" x14ac:dyDescent="0.2">
      <c r="A110" s="356" t="s">
        <v>392</v>
      </c>
      <c r="B110" s="351">
        <v>11</v>
      </c>
      <c r="C110" s="351">
        <v>1231</v>
      </c>
      <c r="D110" s="353">
        <v>13973.801596041749</v>
      </c>
      <c r="E110" s="352">
        <f t="shared" si="1"/>
        <v>27947.603192083498</v>
      </c>
    </row>
    <row r="111" spans="1:5" x14ac:dyDescent="0.2">
      <c r="A111" s="356" t="s">
        <v>392</v>
      </c>
      <c r="B111" s="351">
        <v>12</v>
      </c>
      <c r="C111" s="351">
        <v>3301</v>
      </c>
      <c r="D111" s="352">
        <v>10858.626308076437</v>
      </c>
      <c r="E111" s="352">
        <f t="shared" si="1"/>
        <v>21717.252616152873</v>
      </c>
    </row>
    <row r="112" spans="1:5" x14ac:dyDescent="0.2">
      <c r="A112" s="356" t="s">
        <v>291</v>
      </c>
      <c r="B112" s="351">
        <v>11</v>
      </c>
      <c r="C112" s="351">
        <v>1231</v>
      </c>
      <c r="D112" s="353">
        <v>18579.591228340018</v>
      </c>
      <c r="E112" s="352">
        <f t="shared" si="1"/>
        <v>37159.182456680035</v>
      </c>
    </row>
    <row r="113" spans="1:5" x14ac:dyDescent="0.2">
      <c r="A113" s="356" t="s">
        <v>291</v>
      </c>
      <c r="B113" s="351">
        <v>12</v>
      </c>
      <c r="C113" s="351">
        <v>3301</v>
      </c>
      <c r="D113" s="352">
        <v>14437.648675540589</v>
      </c>
      <c r="E113" s="352">
        <f t="shared" si="1"/>
        <v>28875.297351081179</v>
      </c>
    </row>
    <row r="114" spans="1:5" x14ac:dyDescent="0.2">
      <c r="A114" s="356" t="s">
        <v>293</v>
      </c>
      <c r="B114" s="351">
        <v>11</v>
      </c>
      <c r="C114" s="351">
        <v>1231</v>
      </c>
      <c r="D114" s="353">
        <v>18579.591228340018</v>
      </c>
      <c r="E114" s="352">
        <f t="shared" si="1"/>
        <v>37159.182456680035</v>
      </c>
    </row>
    <row r="115" spans="1:5" x14ac:dyDescent="0.2">
      <c r="A115" s="356" t="s">
        <v>293</v>
      </c>
      <c r="B115" s="351">
        <v>12</v>
      </c>
      <c r="C115" s="351">
        <v>3301</v>
      </c>
      <c r="D115" s="352">
        <v>14437.648675540589</v>
      </c>
      <c r="E115" s="352">
        <f t="shared" si="1"/>
        <v>28875.297351081179</v>
      </c>
    </row>
    <row r="116" spans="1:5" x14ac:dyDescent="0.2">
      <c r="A116" s="356" t="s">
        <v>294</v>
      </c>
      <c r="B116" s="351">
        <v>11</v>
      </c>
      <c r="C116" s="351">
        <v>1231</v>
      </c>
      <c r="D116" s="353">
        <v>18579.591228340018</v>
      </c>
      <c r="E116" s="352">
        <f t="shared" si="1"/>
        <v>37159.182456680035</v>
      </c>
    </row>
    <row r="117" spans="1:5" x14ac:dyDescent="0.2">
      <c r="A117" s="356" t="s">
        <v>294</v>
      </c>
      <c r="B117" s="351">
        <v>12</v>
      </c>
      <c r="C117" s="351">
        <v>3301</v>
      </c>
      <c r="D117" s="352">
        <v>14437.648675540589</v>
      </c>
      <c r="E117" s="352">
        <f t="shared" si="1"/>
        <v>28875.297351081179</v>
      </c>
    </row>
    <row r="118" spans="1:5" x14ac:dyDescent="0.2">
      <c r="A118" s="356" t="s">
        <v>227</v>
      </c>
      <c r="B118" s="351">
        <v>11</v>
      </c>
      <c r="C118" s="351">
        <v>1231</v>
      </c>
      <c r="D118" s="353">
        <v>18579.591228340018</v>
      </c>
      <c r="E118" s="352">
        <f t="shared" si="1"/>
        <v>37159.182456680035</v>
      </c>
    </row>
    <row r="119" spans="1:5" x14ac:dyDescent="0.2">
      <c r="A119" s="356" t="s">
        <v>227</v>
      </c>
      <c r="B119" s="351">
        <v>12</v>
      </c>
      <c r="C119" s="351">
        <v>3301</v>
      </c>
      <c r="D119" s="352">
        <v>14437.648675540589</v>
      </c>
      <c r="E119" s="352">
        <f t="shared" si="1"/>
        <v>28875.297351081179</v>
      </c>
    </row>
    <row r="120" spans="1:5" x14ac:dyDescent="0.2">
      <c r="A120" s="356" t="s">
        <v>305</v>
      </c>
      <c r="B120" s="351">
        <v>11</v>
      </c>
      <c r="C120" s="351">
        <v>1231</v>
      </c>
      <c r="D120" s="353">
        <v>18579.591228340018</v>
      </c>
      <c r="E120" s="352">
        <f t="shared" si="1"/>
        <v>37159.182456680035</v>
      </c>
    </row>
    <row r="121" spans="1:5" x14ac:dyDescent="0.2">
      <c r="A121" s="356" t="s">
        <v>305</v>
      </c>
      <c r="B121" s="351">
        <v>12</v>
      </c>
      <c r="C121" s="351">
        <v>3301</v>
      </c>
      <c r="D121" s="352">
        <v>14437.648675540589</v>
      </c>
      <c r="E121" s="352">
        <f t="shared" si="1"/>
        <v>28875.297351081179</v>
      </c>
    </row>
    <row r="122" spans="1:5" x14ac:dyDescent="0.2">
      <c r="A122" s="356" t="s">
        <v>228</v>
      </c>
      <c r="B122" s="351">
        <v>11</v>
      </c>
      <c r="C122" s="351">
        <v>1231</v>
      </c>
      <c r="D122" s="353">
        <v>18579.591228340018</v>
      </c>
      <c r="E122" s="352">
        <f t="shared" si="1"/>
        <v>37159.182456680035</v>
      </c>
    </row>
    <row r="123" spans="1:5" x14ac:dyDescent="0.2">
      <c r="A123" s="356" t="s">
        <v>228</v>
      </c>
      <c r="B123" s="351">
        <v>12</v>
      </c>
      <c r="C123" s="351">
        <v>3301</v>
      </c>
      <c r="D123" s="352">
        <v>14437.648675540589</v>
      </c>
      <c r="E123" s="352">
        <f t="shared" si="1"/>
        <v>28875.297351081179</v>
      </c>
    </row>
    <row r="124" spans="1:5" x14ac:dyDescent="0.2">
      <c r="A124" s="356" t="s">
        <v>229</v>
      </c>
      <c r="B124" s="351">
        <v>11</v>
      </c>
      <c r="C124" s="351">
        <v>1231</v>
      </c>
      <c r="D124" s="353">
        <v>18579.591228340018</v>
      </c>
      <c r="E124" s="352">
        <f t="shared" si="1"/>
        <v>37159.182456680035</v>
      </c>
    </row>
    <row r="125" spans="1:5" x14ac:dyDescent="0.2">
      <c r="A125" s="356" t="s">
        <v>229</v>
      </c>
      <c r="B125" s="351">
        <v>12</v>
      </c>
      <c r="C125" s="351">
        <v>3301</v>
      </c>
      <c r="D125" s="352">
        <v>14437.648675540589</v>
      </c>
      <c r="E125" s="352">
        <f t="shared" si="1"/>
        <v>28875.297351081179</v>
      </c>
    </row>
    <row r="126" spans="1:5" x14ac:dyDescent="0.2">
      <c r="A126" s="356" t="s">
        <v>230</v>
      </c>
      <c r="B126" s="351">
        <v>11</v>
      </c>
      <c r="C126" s="351">
        <v>1231</v>
      </c>
      <c r="D126" s="353">
        <v>18579.591228340018</v>
      </c>
      <c r="E126" s="352">
        <f t="shared" si="1"/>
        <v>37159.182456680035</v>
      </c>
    </row>
    <row r="127" spans="1:5" x14ac:dyDescent="0.2">
      <c r="A127" s="356" t="s">
        <v>230</v>
      </c>
      <c r="B127" s="351">
        <v>12</v>
      </c>
      <c r="C127" s="351">
        <v>3301</v>
      </c>
      <c r="D127" s="352">
        <v>14437.648675540589</v>
      </c>
      <c r="E127" s="352">
        <f t="shared" si="1"/>
        <v>28875.297351081179</v>
      </c>
    </row>
    <row r="128" spans="1:5" x14ac:dyDescent="0.2">
      <c r="A128" s="356" t="s">
        <v>316</v>
      </c>
      <c r="B128" s="351">
        <v>11</v>
      </c>
      <c r="C128" s="351">
        <v>1231</v>
      </c>
      <c r="D128" s="353">
        <v>18579.591228340018</v>
      </c>
      <c r="E128" s="352">
        <f t="shared" si="1"/>
        <v>37159.182456680035</v>
      </c>
    </row>
    <row r="129" spans="1:5" x14ac:dyDescent="0.2">
      <c r="A129" s="356" t="s">
        <v>316</v>
      </c>
      <c r="B129" s="351">
        <v>12</v>
      </c>
      <c r="C129" s="351">
        <v>3301</v>
      </c>
      <c r="D129" s="352">
        <v>14437.648675540589</v>
      </c>
      <c r="E129" s="352">
        <f t="shared" si="1"/>
        <v>28875.297351081179</v>
      </c>
    </row>
    <row r="130" spans="1:5" x14ac:dyDescent="0.2">
      <c r="A130" s="356" t="s">
        <v>318</v>
      </c>
      <c r="B130" s="351">
        <v>11</v>
      </c>
      <c r="C130" s="351">
        <v>1231</v>
      </c>
      <c r="D130" s="353">
        <v>18579.591228340018</v>
      </c>
      <c r="E130" s="352">
        <f t="shared" si="1"/>
        <v>37159.182456680035</v>
      </c>
    </row>
    <row r="131" spans="1:5" x14ac:dyDescent="0.2">
      <c r="A131" s="356" t="s">
        <v>318</v>
      </c>
      <c r="B131" s="351">
        <v>12</v>
      </c>
      <c r="C131" s="351">
        <v>3301</v>
      </c>
      <c r="D131" s="352">
        <v>14437.648675540589</v>
      </c>
      <c r="E131" s="352">
        <f t="shared" ref="E131:E194" si="2">+D131*2</f>
        <v>28875.297351081179</v>
      </c>
    </row>
    <row r="132" spans="1:5" x14ac:dyDescent="0.2">
      <c r="A132" s="357" t="s">
        <v>320</v>
      </c>
      <c r="B132" s="351">
        <v>11</v>
      </c>
      <c r="C132" s="351">
        <v>1231</v>
      </c>
      <c r="D132" s="353">
        <v>18579.591228340018</v>
      </c>
      <c r="E132" s="352">
        <f t="shared" si="2"/>
        <v>37159.182456680035</v>
      </c>
    </row>
    <row r="133" spans="1:5" x14ac:dyDescent="0.2">
      <c r="A133" s="357" t="s">
        <v>320</v>
      </c>
      <c r="B133" s="351">
        <v>12</v>
      </c>
      <c r="C133" s="351">
        <v>3301</v>
      </c>
      <c r="D133" s="352">
        <v>14437.648675540589</v>
      </c>
      <c r="E133" s="352">
        <f t="shared" si="2"/>
        <v>28875.297351081179</v>
      </c>
    </row>
    <row r="134" spans="1:5" x14ac:dyDescent="0.2">
      <c r="A134" s="356" t="s">
        <v>322</v>
      </c>
      <c r="B134" s="351">
        <v>11</v>
      </c>
      <c r="C134" s="351">
        <v>1231</v>
      </c>
      <c r="D134" s="353">
        <v>18579.591228340018</v>
      </c>
      <c r="E134" s="352">
        <f t="shared" si="2"/>
        <v>37159.182456680035</v>
      </c>
    </row>
    <row r="135" spans="1:5" x14ac:dyDescent="0.2">
      <c r="A135" s="356" t="s">
        <v>322</v>
      </c>
      <c r="B135" s="351">
        <v>12</v>
      </c>
      <c r="C135" s="351">
        <v>3301</v>
      </c>
      <c r="D135" s="352">
        <v>14437.648675540589</v>
      </c>
      <c r="E135" s="352">
        <f t="shared" si="2"/>
        <v>28875.297351081179</v>
      </c>
    </row>
    <row r="136" spans="1:5" x14ac:dyDescent="0.2">
      <c r="A136" s="356" t="s">
        <v>330</v>
      </c>
      <c r="B136" s="351">
        <v>11</v>
      </c>
      <c r="C136" s="351">
        <v>1231</v>
      </c>
      <c r="D136" s="353">
        <v>18579.591228340018</v>
      </c>
      <c r="E136" s="352">
        <f t="shared" si="2"/>
        <v>37159.182456680035</v>
      </c>
    </row>
    <row r="137" spans="1:5" x14ac:dyDescent="0.2">
      <c r="A137" s="356" t="s">
        <v>330</v>
      </c>
      <c r="B137" s="351">
        <v>12</v>
      </c>
      <c r="C137" s="351">
        <v>3301</v>
      </c>
      <c r="D137" s="352">
        <v>14437.648675540589</v>
      </c>
      <c r="E137" s="352">
        <f t="shared" si="2"/>
        <v>28875.297351081179</v>
      </c>
    </row>
    <row r="138" spans="1:5" x14ac:dyDescent="0.2">
      <c r="A138" s="356" t="s">
        <v>336</v>
      </c>
      <c r="B138" s="351">
        <v>11</v>
      </c>
      <c r="C138" s="351">
        <v>1231</v>
      </c>
      <c r="D138" s="353">
        <v>18579.591228340018</v>
      </c>
      <c r="E138" s="352">
        <f t="shared" si="2"/>
        <v>37159.182456680035</v>
      </c>
    </row>
    <row r="139" spans="1:5" x14ac:dyDescent="0.2">
      <c r="A139" s="356" t="s">
        <v>336</v>
      </c>
      <c r="B139" s="351">
        <v>12</v>
      </c>
      <c r="C139" s="351">
        <v>3301</v>
      </c>
      <c r="D139" s="352">
        <v>14437.648675540589</v>
      </c>
      <c r="E139" s="352">
        <f t="shared" si="2"/>
        <v>28875.297351081179</v>
      </c>
    </row>
    <row r="140" spans="1:5" x14ac:dyDescent="0.2">
      <c r="A140" s="356" t="s">
        <v>398</v>
      </c>
      <c r="B140" s="351">
        <v>11</v>
      </c>
      <c r="C140" s="351">
        <v>1231</v>
      </c>
      <c r="D140" s="353">
        <v>18579.591228340018</v>
      </c>
      <c r="E140" s="352">
        <f t="shared" si="2"/>
        <v>37159.182456680035</v>
      </c>
    </row>
    <row r="141" spans="1:5" x14ac:dyDescent="0.2">
      <c r="A141" s="356" t="s">
        <v>398</v>
      </c>
      <c r="B141" s="351">
        <v>12</v>
      </c>
      <c r="C141" s="351">
        <v>3301</v>
      </c>
      <c r="D141" s="352">
        <v>14437.648675540589</v>
      </c>
      <c r="E141" s="352">
        <f t="shared" si="2"/>
        <v>28875.297351081179</v>
      </c>
    </row>
    <row r="142" spans="1:5" x14ac:dyDescent="0.2">
      <c r="A142" s="356" t="s">
        <v>399</v>
      </c>
      <c r="B142" s="351">
        <v>11</v>
      </c>
      <c r="C142" s="351">
        <v>1231</v>
      </c>
      <c r="D142" s="353">
        <v>18579.591228340018</v>
      </c>
      <c r="E142" s="352">
        <f t="shared" si="2"/>
        <v>37159.182456680035</v>
      </c>
    </row>
    <row r="143" spans="1:5" x14ac:dyDescent="0.2">
      <c r="A143" s="356" t="s">
        <v>399</v>
      </c>
      <c r="B143" s="351">
        <v>12</v>
      </c>
      <c r="C143" s="351">
        <v>3301</v>
      </c>
      <c r="D143" s="352">
        <v>14437.648675540589</v>
      </c>
      <c r="E143" s="352">
        <f t="shared" si="2"/>
        <v>28875.297351081179</v>
      </c>
    </row>
    <row r="144" spans="1:5" x14ac:dyDescent="0.2">
      <c r="A144" s="356" t="s">
        <v>400</v>
      </c>
      <c r="B144" s="351">
        <v>11</v>
      </c>
      <c r="C144" s="351">
        <v>1231</v>
      </c>
      <c r="D144" s="353">
        <v>18579.591228340018</v>
      </c>
      <c r="E144" s="352">
        <f t="shared" si="2"/>
        <v>37159.182456680035</v>
      </c>
    </row>
    <row r="145" spans="1:5" x14ac:dyDescent="0.2">
      <c r="A145" s="356" t="s">
        <v>400</v>
      </c>
      <c r="B145" s="351">
        <v>12</v>
      </c>
      <c r="C145" s="351">
        <v>3301</v>
      </c>
      <c r="D145" s="352">
        <v>14437.648675540589</v>
      </c>
      <c r="E145" s="352">
        <f t="shared" si="2"/>
        <v>28875.297351081179</v>
      </c>
    </row>
    <row r="146" spans="1:5" x14ac:dyDescent="0.2">
      <c r="A146" s="356" t="s">
        <v>327</v>
      </c>
      <c r="B146" s="351">
        <v>11</v>
      </c>
      <c r="C146" s="351">
        <v>1231</v>
      </c>
      <c r="D146" s="353">
        <v>23733.106306129856</v>
      </c>
      <c r="E146" s="352">
        <f t="shared" si="2"/>
        <v>47466.212612259711</v>
      </c>
    </row>
    <row r="147" spans="1:5" x14ac:dyDescent="0.2">
      <c r="A147" s="356" t="s">
        <v>327</v>
      </c>
      <c r="B147" s="351">
        <v>12</v>
      </c>
      <c r="C147" s="351">
        <v>3301</v>
      </c>
      <c r="D147" s="352">
        <v>18442.292223550365</v>
      </c>
      <c r="E147" s="352">
        <f t="shared" si="2"/>
        <v>36884.584447100729</v>
      </c>
    </row>
    <row r="148" spans="1:5" x14ac:dyDescent="0.2">
      <c r="A148" s="356" t="s">
        <v>231</v>
      </c>
      <c r="B148" s="351">
        <v>11</v>
      </c>
      <c r="C148" s="351">
        <v>1231</v>
      </c>
      <c r="D148" s="353">
        <v>21985.034102018966</v>
      </c>
      <c r="E148" s="352">
        <f t="shared" si="2"/>
        <v>43970.068204037932</v>
      </c>
    </row>
    <row r="149" spans="1:5" x14ac:dyDescent="0.2">
      <c r="A149" s="356" t="s">
        <v>231</v>
      </c>
      <c r="B149" s="351">
        <v>12</v>
      </c>
      <c r="C149" s="351">
        <v>3301</v>
      </c>
      <c r="D149" s="352">
        <v>17083.917217757207</v>
      </c>
      <c r="E149" s="352">
        <f t="shared" si="2"/>
        <v>34167.834435514415</v>
      </c>
    </row>
    <row r="150" spans="1:5" x14ac:dyDescent="0.2">
      <c r="A150" s="356" t="s">
        <v>232</v>
      </c>
      <c r="B150" s="351">
        <v>11</v>
      </c>
      <c r="C150" s="351">
        <v>1231</v>
      </c>
      <c r="D150" s="353">
        <v>21985.034102018966</v>
      </c>
      <c r="E150" s="352">
        <f t="shared" si="2"/>
        <v>43970.068204037932</v>
      </c>
    </row>
    <row r="151" spans="1:5" x14ac:dyDescent="0.2">
      <c r="A151" s="356" t="s">
        <v>232</v>
      </c>
      <c r="B151" s="351">
        <v>12</v>
      </c>
      <c r="C151" s="351">
        <v>3301</v>
      </c>
      <c r="D151" s="352">
        <v>17083.917217757207</v>
      </c>
      <c r="E151" s="352">
        <f t="shared" si="2"/>
        <v>34167.834435514415</v>
      </c>
    </row>
    <row r="152" spans="1:5" x14ac:dyDescent="0.2">
      <c r="A152" s="351">
        <v>676</v>
      </c>
      <c r="B152" s="351">
        <v>11</v>
      </c>
      <c r="C152" s="351">
        <v>1231</v>
      </c>
      <c r="D152" s="352">
        <v>26878.04</v>
      </c>
      <c r="E152" s="352">
        <f t="shared" si="2"/>
        <v>53756.08</v>
      </c>
    </row>
    <row r="153" spans="1:5" x14ac:dyDescent="0.2">
      <c r="A153" s="351">
        <v>360</v>
      </c>
      <c r="B153" s="351">
        <v>258</v>
      </c>
      <c r="C153" s="351">
        <v>3301</v>
      </c>
      <c r="D153" s="352">
        <v>37618.46</v>
      </c>
      <c r="E153" s="352">
        <f t="shared" si="2"/>
        <v>75236.92</v>
      </c>
    </row>
    <row r="154" spans="1:5" x14ac:dyDescent="0.2">
      <c r="A154" s="351">
        <v>677</v>
      </c>
      <c r="B154" s="351">
        <v>11</v>
      </c>
      <c r="C154" s="351">
        <v>1231</v>
      </c>
      <c r="D154" s="352">
        <v>26878.04</v>
      </c>
      <c r="E154" s="352">
        <f t="shared" si="2"/>
        <v>53756.08</v>
      </c>
    </row>
    <row r="155" spans="1:5" x14ac:dyDescent="0.2">
      <c r="A155" s="351">
        <v>360</v>
      </c>
      <c r="B155" s="351">
        <v>258</v>
      </c>
      <c r="C155" s="351">
        <v>3301</v>
      </c>
      <c r="D155" s="352">
        <v>37618.46</v>
      </c>
      <c r="E155" s="352">
        <f t="shared" si="2"/>
        <v>75236.92</v>
      </c>
    </row>
    <row r="156" spans="1:5" x14ac:dyDescent="0.2">
      <c r="A156" s="351">
        <v>678</v>
      </c>
      <c r="B156" s="351">
        <v>11</v>
      </c>
      <c r="C156" s="351">
        <v>1231</v>
      </c>
      <c r="D156" s="352">
        <v>26878.04</v>
      </c>
      <c r="E156" s="352">
        <f t="shared" si="2"/>
        <v>53756.08</v>
      </c>
    </row>
    <row r="157" spans="1:5" x14ac:dyDescent="0.2">
      <c r="A157" s="351">
        <v>360</v>
      </c>
      <c r="B157" s="351">
        <v>258</v>
      </c>
      <c r="C157" s="351">
        <v>3301</v>
      </c>
      <c r="D157" s="352">
        <v>37618.46</v>
      </c>
      <c r="E157" s="352">
        <f t="shared" si="2"/>
        <v>75236.92</v>
      </c>
    </row>
    <row r="158" spans="1:5" x14ac:dyDescent="0.2">
      <c r="A158" s="356" t="s">
        <v>333</v>
      </c>
      <c r="B158" s="351">
        <v>11</v>
      </c>
      <c r="C158" s="351">
        <v>1231</v>
      </c>
      <c r="D158" s="353">
        <v>33027.926586043912</v>
      </c>
      <c r="E158" s="352">
        <f t="shared" si="2"/>
        <v>66055.853172087824</v>
      </c>
    </row>
    <row r="159" spans="1:5" x14ac:dyDescent="0.2">
      <c r="A159" s="356" t="s">
        <v>333</v>
      </c>
      <c r="B159" s="351">
        <v>12</v>
      </c>
      <c r="C159" s="351">
        <v>3301</v>
      </c>
      <c r="D159" s="352">
        <v>25665.021079877235</v>
      </c>
      <c r="E159" s="352">
        <f t="shared" si="2"/>
        <v>51330.04215975447</v>
      </c>
    </row>
    <row r="160" spans="1:5" x14ac:dyDescent="0.2">
      <c r="A160" s="357" t="s">
        <v>394</v>
      </c>
      <c r="B160" s="351">
        <v>11</v>
      </c>
      <c r="C160" s="351">
        <v>1231</v>
      </c>
      <c r="D160" s="353">
        <v>33027.926586043912</v>
      </c>
      <c r="E160" s="352">
        <f t="shared" si="2"/>
        <v>66055.853172087824</v>
      </c>
    </row>
    <row r="161" spans="1:5" x14ac:dyDescent="0.2">
      <c r="A161" s="357" t="s">
        <v>394</v>
      </c>
      <c r="B161" s="351">
        <v>12</v>
      </c>
      <c r="C161" s="351">
        <v>3301</v>
      </c>
      <c r="D161" s="352">
        <v>25665.021079877235</v>
      </c>
      <c r="E161" s="352">
        <f t="shared" si="2"/>
        <v>51330.04215975447</v>
      </c>
    </row>
    <row r="162" spans="1:5" x14ac:dyDescent="0.2">
      <c r="A162" s="356" t="s">
        <v>396</v>
      </c>
      <c r="B162" s="351">
        <v>11</v>
      </c>
      <c r="C162" s="351">
        <v>1231</v>
      </c>
      <c r="D162" s="353">
        <v>33027.926586043912</v>
      </c>
      <c r="E162" s="352">
        <f t="shared" si="2"/>
        <v>66055.853172087824</v>
      </c>
    </row>
    <row r="163" spans="1:5" x14ac:dyDescent="0.2">
      <c r="A163" s="356" t="s">
        <v>396</v>
      </c>
      <c r="B163" s="351">
        <v>12</v>
      </c>
      <c r="C163" s="351">
        <v>3301</v>
      </c>
      <c r="D163" s="352">
        <v>25665.021079877235</v>
      </c>
      <c r="E163" s="352">
        <f t="shared" si="2"/>
        <v>51330.04215975447</v>
      </c>
    </row>
    <row r="164" spans="1:5" x14ac:dyDescent="0.2">
      <c r="A164" s="356" t="s">
        <v>234</v>
      </c>
      <c r="B164" s="351">
        <v>11</v>
      </c>
      <c r="C164" s="351">
        <v>1231</v>
      </c>
      <c r="D164" s="353">
        <v>36695.95071660605</v>
      </c>
      <c r="E164" s="352">
        <f t="shared" si="2"/>
        <v>73391.901433212101</v>
      </c>
    </row>
    <row r="165" spans="1:5" x14ac:dyDescent="0.2">
      <c r="A165" s="356" t="s">
        <v>234</v>
      </c>
      <c r="B165" s="351">
        <v>12</v>
      </c>
      <c r="C165" s="351">
        <v>3301</v>
      </c>
      <c r="D165" s="352">
        <v>28515.333720215818</v>
      </c>
      <c r="E165" s="352">
        <f t="shared" si="2"/>
        <v>57030.667440431636</v>
      </c>
    </row>
    <row r="166" spans="1:5" x14ac:dyDescent="0.2">
      <c r="A166" s="356" t="s">
        <v>235</v>
      </c>
      <c r="B166" s="351">
        <v>11</v>
      </c>
      <c r="C166" s="351">
        <v>1231</v>
      </c>
      <c r="D166" s="353">
        <v>40079.596057047602</v>
      </c>
      <c r="E166" s="352">
        <f t="shared" si="2"/>
        <v>80159.192114095204</v>
      </c>
    </row>
    <row r="167" spans="1:5" x14ac:dyDescent="0.2">
      <c r="A167" s="356" t="s">
        <v>235</v>
      </c>
      <c r="B167" s="351">
        <v>12</v>
      </c>
      <c r="C167" s="351">
        <v>3301</v>
      </c>
      <c r="D167" s="352">
        <v>31144.664046569269</v>
      </c>
      <c r="E167" s="352">
        <f t="shared" si="2"/>
        <v>62289.328093138538</v>
      </c>
    </row>
    <row r="168" spans="1:5" x14ac:dyDescent="0.2">
      <c r="A168" s="351">
        <v>684</v>
      </c>
      <c r="B168" s="351">
        <v>11</v>
      </c>
      <c r="C168" s="351">
        <v>1231</v>
      </c>
      <c r="D168" s="352">
        <v>38678.879999999997</v>
      </c>
      <c r="E168" s="352">
        <f t="shared" si="2"/>
        <v>77357.759999999995</v>
      </c>
    </row>
    <row r="169" spans="1:5" x14ac:dyDescent="0.2">
      <c r="A169" s="351">
        <v>360</v>
      </c>
      <c r="B169" s="351">
        <v>258</v>
      </c>
      <c r="C169" s="351">
        <v>3301</v>
      </c>
      <c r="D169" s="352">
        <v>54134.91</v>
      </c>
      <c r="E169" s="352">
        <f t="shared" si="2"/>
        <v>108269.82</v>
      </c>
    </row>
    <row r="170" spans="1:5" x14ac:dyDescent="0.2">
      <c r="A170" s="351">
        <v>685</v>
      </c>
      <c r="B170" s="351">
        <v>11</v>
      </c>
      <c r="C170" s="351">
        <v>1231</v>
      </c>
      <c r="D170" s="352">
        <v>31043.599999999999</v>
      </c>
      <c r="E170" s="352">
        <f t="shared" si="2"/>
        <v>62087.199999999997</v>
      </c>
    </row>
    <row r="171" spans="1:5" x14ac:dyDescent="0.2">
      <c r="A171" s="351">
        <v>360</v>
      </c>
      <c r="B171" s="351">
        <v>258</v>
      </c>
      <c r="C171" s="351">
        <v>3301</v>
      </c>
      <c r="D171" s="352">
        <v>43448.58</v>
      </c>
      <c r="E171" s="352">
        <f t="shared" si="2"/>
        <v>86897.16</v>
      </c>
    </row>
    <row r="172" spans="1:5" x14ac:dyDescent="0.2">
      <c r="A172" s="351">
        <v>686</v>
      </c>
      <c r="B172" s="351">
        <v>11</v>
      </c>
      <c r="C172" s="351">
        <v>1231</v>
      </c>
      <c r="D172" s="352">
        <v>31043.56</v>
      </c>
      <c r="E172" s="352">
        <f t="shared" si="2"/>
        <v>62087.12</v>
      </c>
    </row>
    <row r="173" spans="1:5" x14ac:dyDescent="0.2">
      <c r="A173" s="351">
        <v>360</v>
      </c>
      <c r="B173" s="351">
        <v>258</v>
      </c>
      <c r="C173" s="351">
        <v>3301</v>
      </c>
      <c r="D173" s="352">
        <v>43448.53</v>
      </c>
      <c r="E173" s="352">
        <f t="shared" si="2"/>
        <v>86897.06</v>
      </c>
    </row>
    <row r="174" spans="1:5" x14ac:dyDescent="0.2">
      <c r="A174" s="351">
        <v>687</v>
      </c>
      <c r="B174" s="351">
        <v>11</v>
      </c>
      <c r="C174" s="351">
        <v>1231</v>
      </c>
      <c r="D174" s="352">
        <v>38137.18</v>
      </c>
      <c r="E174" s="352">
        <f t="shared" si="2"/>
        <v>76274.36</v>
      </c>
    </row>
    <row r="175" spans="1:5" x14ac:dyDescent="0.2">
      <c r="A175" s="351">
        <v>360</v>
      </c>
      <c r="B175" s="351">
        <v>258</v>
      </c>
      <c r="C175" s="351">
        <v>3301</v>
      </c>
      <c r="D175" s="352">
        <v>53376.75</v>
      </c>
      <c r="E175" s="352">
        <f t="shared" si="2"/>
        <v>106753.5</v>
      </c>
    </row>
    <row r="176" spans="1:5" x14ac:dyDescent="0.2">
      <c r="A176" s="351">
        <v>688</v>
      </c>
      <c r="B176" s="351">
        <v>11</v>
      </c>
      <c r="C176" s="351">
        <v>1231</v>
      </c>
      <c r="D176" s="352">
        <v>82089.440000000002</v>
      </c>
      <c r="E176" s="352">
        <f t="shared" si="2"/>
        <v>164178.88</v>
      </c>
    </row>
    <row r="177" spans="1:5" x14ac:dyDescent="0.2">
      <c r="A177" s="351">
        <v>360</v>
      </c>
      <c r="B177" s="351">
        <v>258</v>
      </c>
      <c r="C177" s="351">
        <v>3301</v>
      </c>
      <c r="D177" s="352">
        <v>114892.27</v>
      </c>
      <c r="E177" s="352">
        <f t="shared" si="2"/>
        <v>229784.54</v>
      </c>
    </row>
    <row r="178" spans="1:5" x14ac:dyDescent="0.2">
      <c r="A178" s="351">
        <v>689</v>
      </c>
      <c r="B178" s="351">
        <v>11</v>
      </c>
      <c r="C178" s="351">
        <v>1231</v>
      </c>
      <c r="D178" s="352">
        <v>39236.18</v>
      </c>
      <c r="E178" s="352">
        <f t="shared" si="2"/>
        <v>78472.36</v>
      </c>
    </row>
    <row r="179" spans="1:5" x14ac:dyDescent="0.2">
      <c r="A179" s="351">
        <v>360</v>
      </c>
      <c r="B179" s="351">
        <v>258</v>
      </c>
      <c r="C179" s="351">
        <v>3301</v>
      </c>
      <c r="D179" s="352">
        <v>54914.91</v>
      </c>
      <c r="E179" s="352">
        <f t="shared" si="2"/>
        <v>109829.82</v>
      </c>
    </row>
    <row r="180" spans="1:5" x14ac:dyDescent="0.2">
      <c r="A180" s="351">
        <v>690</v>
      </c>
      <c r="B180" s="351">
        <v>11</v>
      </c>
      <c r="C180" s="351">
        <v>1231</v>
      </c>
      <c r="D180" s="352">
        <v>39236.18</v>
      </c>
      <c r="E180" s="352">
        <f t="shared" si="2"/>
        <v>78472.36</v>
      </c>
    </row>
    <row r="181" spans="1:5" x14ac:dyDescent="0.2">
      <c r="A181" s="351">
        <v>360</v>
      </c>
      <c r="B181" s="351">
        <v>258</v>
      </c>
      <c r="C181" s="351">
        <v>3301</v>
      </c>
      <c r="D181" s="352">
        <v>54914.91</v>
      </c>
      <c r="E181" s="352">
        <f t="shared" si="2"/>
        <v>109829.82</v>
      </c>
    </row>
    <row r="182" spans="1:5" x14ac:dyDescent="0.2">
      <c r="A182" s="351">
        <v>691</v>
      </c>
      <c r="B182" s="351">
        <v>11</v>
      </c>
      <c r="C182" s="351">
        <v>1231</v>
      </c>
      <c r="D182" s="352">
        <v>45827.75</v>
      </c>
      <c r="E182" s="352">
        <f t="shared" si="2"/>
        <v>91655.5</v>
      </c>
    </row>
    <row r="183" spans="1:5" x14ac:dyDescent="0.2">
      <c r="A183" s="351">
        <v>360</v>
      </c>
      <c r="B183" s="351">
        <v>258</v>
      </c>
      <c r="C183" s="351">
        <v>3301</v>
      </c>
      <c r="D183" s="352">
        <v>64140.46</v>
      </c>
      <c r="E183" s="352">
        <f t="shared" si="2"/>
        <v>128280.92</v>
      </c>
    </row>
    <row r="184" spans="1:5" x14ac:dyDescent="0.2">
      <c r="A184" s="351">
        <v>692</v>
      </c>
      <c r="B184" s="351">
        <v>11</v>
      </c>
      <c r="C184" s="351">
        <v>1231</v>
      </c>
      <c r="D184" s="352">
        <v>45827.75</v>
      </c>
      <c r="E184" s="352">
        <f t="shared" si="2"/>
        <v>91655.5</v>
      </c>
    </row>
    <row r="185" spans="1:5" x14ac:dyDescent="0.2">
      <c r="A185" s="351">
        <v>360</v>
      </c>
      <c r="B185" s="351">
        <v>258</v>
      </c>
      <c r="C185" s="351">
        <v>3301</v>
      </c>
      <c r="D185" s="352">
        <v>64140.46</v>
      </c>
      <c r="E185" s="352">
        <f t="shared" si="2"/>
        <v>128280.92</v>
      </c>
    </row>
    <row r="186" spans="1:5" x14ac:dyDescent="0.2">
      <c r="A186" s="351">
        <v>693</v>
      </c>
      <c r="B186" s="351">
        <v>11</v>
      </c>
      <c r="C186" s="351">
        <v>1231</v>
      </c>
      <c r="D186" s="352">
        <v>41050.620000000003</v>
      </c>
      <c r="E186" s="352">
        <f t="shared" si="2"/>
        <v>82101.240000000005</v>
      </c>
    </row>
    <row r="187" spans="1:5" x14ac:dyDescent="0.2">
      <c r="A187" s="351">
        <v>360</v>
      </c>
      <c r="B187" s="351">
        <v>258</v>
      </c>
      <c r="C187" s="351">
        <v>3301</v>
      </c>
      <c r="D187" s="352">
        <v>57454.400000000001</v>
      </c>
      <c r="E187" s="352">
        <f t="shared" si="2"/>
        <v>114908.8</v>
      </c>
    </row>
    <row r="188" spans="1:5" x14ac:dyDescent="0.2">
      <c r="A188" s="351">
        <v>694</v>
      </c>
      <c r="B188" s="351">
        <v>11</v>
      </c>
      <c r="C188" s="351">
        <v>1231</v>
      </c>
      <c r="D188" s="352">
        <v>41050.620000000003</v>
      </c>
      <c r="E188" s="352">
        <f t="shared" si="2"/>
        <v>82101.240000000005</v>
      </c>
    </row>
    <row r="189" spans="1:5" x14ac:dyDescent="0.2">
      <c r="A189" s="351">
        <v>360</v>
      </c>
      <c r="B189" s="351">
        <v>258</v>
      </c>
      <c r="C189" s="351">
        <v>3301</v>
      </c>
      <c r="D189" s="352">
        <v>57454.400000000001</v>
      </c>
      <c r="E189" s="352">
        <f t="shared" si="2"/>
        <v>114908.8</v>
      </c>
    </row>
    <row r="190" spans="1:5" x14ac:dyDescent="0.2">
      <c r="A190" s="351">
        <v>695</v>
      </c>
      <c r="B190" s="351">
        <v>11</v>
      </c>
      <c r="C190" s="351">
        <v>1231</v>
      </c>
      <c r="D190" s="352">
        <v>27869.119999999999</v>
      </c>
      <c r="E190" s="352">
        <f t="shared" si="2"/>
        <v>55738.239999999998</v>
      </c>
    </row>
    <row r="191" spans="1:5" x14ac:dyDescent="0.2">
      <c r="A191" s="351">
        <v>360</v>
      </c>
      <c r="B191" s="351">
        <v>258</v>
      </c>
      <c r="C191" s="351">
        <v>3301</v>
      </c>
      <c r="D191" s="352">
        <v>39005.589999999997</v>
      </c>
      <c r="E191" s="352">
        <f t="shared" si="2"/>
        <v>78011.179999999993</v>
      </c>
    </row>
    <row r="192" spans="1:5" x14ac:dyDescent="0.2">
      <c r="A192" s="351">
        <v>696</v>
      </c>
      <c r="B192" s="351">
        <v>11</v>
      </c>
      <c r="C192" s="351">
        <v>1231</v>
      </c>
      <c r="D192" s="352">
        <v>27869.119999999999</v>
      </c>
      <c r="E192" s="352">
        <f t="shared" si="2"/>
        <v>55738.239999999998</v>
      </c>
    </row>
    <row r="193" spans="1:5" x14ac:dyDescent="0.2">
      <c r="A193" s="351">
        <v>360</v>
      </c>
      <c r="B193" s="351">
        <v>258</v>
      </c>
      <c r="C193" s="351">
        <v>3301</v>
      </c>
      <c r="D193" s="352">
        <v>39005.589999999997</v>
      </c>
      <c r="E193" s="352">
        <f t="shared" si="2"/>
        <v>78011.179999999993</v>
      </c>
    </row>
    <row r="194" spans="1:5" x14ac:dyDescent="0.2">
      <c r="A194" s="351">
        <v>697</v>
      </c>
      <c r="B194" s="351">
        <v>11</v>
      </c>
      <c r="C194" s="351">
        <v>1231</v>
      </c>
      <c r="D194" s="352">
        <v>27869.119999999999</v>
      </c>
      <c r="E194" s="352">
        <f t="shared" si="2"/>
        <v>55738.239999999998</v>
      </c>
    </row>
    <row r="195" spans="1:5" x14ac:dyDescent="0.2">
      <c r="A195" s="351">
        <v>360</v>
      </c>
      <c r="B195" s="351">
        <v>258</v>
      </c>
      <c r="C195" s="351">
        <v>3301</v>
      </c>
      <c r="D195" s="352">
        <v>39005.589999999997</v>
      </c>
      <c r="E195" s="352">
        <f t="shared" ref="E195:E199" si="3">+D195*2</f>
        <v>78011.179999999993</v>
      </c>
    </row>
    <row r="196" spans="1:5" x14ac:dyDescent="0.2">
      <c r="A196" s="351">
        <v>698</v>
      </c>
      <c r="B196" s="351">
        <v>11</v>
      </c>
      <c r="C196" s="351">
        <v>1231</v>
      </c>
      <c r="D196" s="352">
        <v>27869.119999999999</v>
      </c>
      <c r="E196" s="352">
        <f t="shared" si="3"/>
        <v>55738.239999999998</v>
      </c>
    </row>
    <row r="197" spans="1:5" x14ac:dyDescent="0.2">
      <c r="A197" s="351">
        <v>360</v>
      </c>
      <c r="B197" s="351">
        <v>258</v>
      </c>
      <c r="C197" s="351">
        <v>3301</v>
      </c>
      <c r="D197" s="352">
        <v>39005.589999999997</v>
      </c>
      <c r="E197" s="352">
        <f t="shared" si="3"/>
        <v>78011.179999999993</v>
      </c>
    </row>
    <row r="198" spans="1:5" x14ac:dyDescent="0.2">
      <c r="A198" s="351">
        <v>699</v>
      </c>
      <c r="B198" s="351">
        <v>11</v>
      </c>
      <c r="C198" s="351">
        <v>1231</v>
      </c>
      <c r="D198" s="352">
        <v>59670.03</v>
      </c>
      <c r="E198" s="352">
        <f t="shared" si="3"/>
        <v>119340.06</v>
      </c>
    </row>
    <row r="199" spans="1:5" x14ac:dyDescent="0.2">
      <c r="A199" s="351">
        <v>360</v>
      </c>
      <c r="B199" s="351">
        <v>258</v>
      </c>
      <c r="C199" s="351">
        <v>3301</v>
      </c>
      <c r="D199" s="352">
        <v>83514.09</v>
      </c>
      <c r="E199" s="352">
        <f t="shared" si="3"/>
        <v>167028.18</v>
      </c>
    </row>
  </sheetData>
  <autoFilter ref="A1:G199" xr:uid="{00000000-0009-0000-0000-00000D000000}"/>
  <sortState xmlns:xlrd2="http://schemas.microsoft.com/office/spreadsheetml/2017/richdata2" ref="A2:G199">
    <sortCondition ref="A2:A199"/>
    <sortCondition ref="B2:B199"/>
  </sortState>
  <customSheetViews>
    <customSheetView guid="{6C0BD6A7-6718-429D-82D9-D2FE0341EA2C}" showAutoFilter="1">
      <selection activeCell="C1" sqref="C1"/>
      <pageMargins left="0.7" right="0.7" top="0.75" bottom="0.75" header="0.3" footer="0.3"/>
      <pageSetup paperSize="9" orientation="portrait" horizontalDpi="300" verticalDpi="300" r:id="rId1"/>
      <autoFilter ref="A1:G199" xr:uid="{4209368D-921C-47A7-AB0C-78A7A913F82F}"/>
    </customSheetView>
    <customSheetView guid="{594C4AB0-8D5F-4373-9663-410F4413FE3A}" showPageBreaks="1" showAutoFilter="1" topLeftCell="A190">
      <selection activeCell="C2" sqref="C2"/>
      <pageMargins left="0.7" right="0.7" top="0.75" bottom="0.75" header="0.3" footer="0.3"/>
      <pageSetup paperSize="9" orientation="portrait" horizontalDpi="300" verticalDpi="300" r:id="rId2"/>
      <autoFilter ref="A1:G199" xr:uid="{7B58CD94-11BD-407D-B90D-7BBEA8108EA8}"/>
    </customSheetView>
    <customSheetView guid="{DF69299D-7752-4436-A45D-28F739CEE21B}" showAutoFilter="1">
      <selection activeCell="C1" sqref="C1"/>
      <pageMargins left="0.7" right="0.7" top="0.75" bottom="0.75" header="0.3" footer="0.3"/>
      <pageSetup paperSize="9" orientation="portrait" horizontalDpi="300" verticalDpi="300" r:id="rId3"/>
      <autoFilter ref="A1:G199" xr:uid="{0666D31A-A286-40BD-8AE9-2401A09ACB33}"/>
    </customSheetView>
  </customSheetViews>
  <pageMargins left="0.7" right="0.7" top="0.75" bottom="0.75" header="0.3" footer="0.3"/>
  <pageSetup paperSize="9" orientation="portrait" horizontalDpi="300" verticalDpi="30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RowHeight="12.5" x14ac:dyDescent="0.25"/>
  <sheetData/>
  <customSheetViews>
    <customSheetView guid="{6C0BD6A7-6718-429D-82D9-D2FE0341EA2C}">
      <pageMargins left="0.7" right="0.7" top="0.75" bottom="0.75" header="0.3" footer="0.3"/>
      <pageSetup paperSize="9" orientation="portrait" r:id="rId1"/>
    </customSheetView>
    <customSheetView guid="{594C4AB0-8D5F-4373-9663-410F4413FE3A}" showPageBreaks="1">
      <pageMargins left="0.7" right="0.7" top="0.75" bottom="0.75" header="0.3" footer="0.3"/>
      <pageSetup paperSize="9" orientation="portrait" r:id="rId2"/>
    </customSheetView>
    <customSheetView guid="{DF69299D-7752-4436-A45D-28F739CEE21B}"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indexed="41"/>
  </sheetPr>
  <dimension ref="A1:Q122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796875" defaultRowHeight="10.5" x14ac:dyDescent="0.25"/>
  <cols>
    <col min="1" max="1" width="20.81640625" style="2" customWidth="1"/>
    <col min="2" max="2" width="9.26953125" style="2" bestFit="1" customWidth="1"/>
    <col min="3" max="3" width="3.81640625" style="4" bestFit="1" customWidth="1"/>
    <col min="4" max="4" width="7.81640625" style="13" bestFit="1" customWidth="1"/>
    <col min="5" max="5" width="11.26953125" style="2" bestFit="1" customWidth="1"/>
    <col min="6" max="6" width="15.7265625" style="2" customWidth="1"/>
    <col min="7" max="7" width="10.1796875" style="2" bestFit="1" customWidth="1"/>
    <col min="8" max="8" width="10.453125" style="2" bestFit="1" customWidth="1"/>
    <col min="9" max="9" width="11.54296875" style="2" customWidth="1"/>
    <col min="10" max="10" width="15.7265625" style="2" customWidth="1"/>
    <col min="11" max="11" width="10.1796875" style="2" bestFit="1" customWidth="1"/>
    <col min="12" max="12" width="10.453125" style="2" bestFit="1" customWidth="1"/>
    <col min="13" max="13" width="11.26953125" style="2" bestFit="1" customWidth="1"/>
    <col min="14" max="14" width="10.1796875" style="2" bestFit="1" customWidth="1"/>
    <col min="15" max="15" width="11.26953125" style="2" bestFit="1" customWidth="1"/>
    <col min="16" max="16" width="8.26953125" style="11" hidden="1" customWidth="1"/>
    <col min="17" max="17" width="7" style="21" bestFit="1" customWidth="1"/>
    <col min="18" max="16384" width="9.1796875" style="2"/>
  </cols>
  <sheetData>
    <row r="1" spans="1:17" x14ac:dyDescent="0.25">
      <c r="A1" s="7" t="s">
        <v>1560</v>
      </c>
      <c r="D1" s="13" t="s">
        <v>547</v>
      </c>
    </row>
    <row r="3" spans="1:17" s="7" customFormat="1" ht="33" customHeight="1" x14ac:dyDescent="0.25">
      <c r="A3" s="286" t="s">
        <v>0</v>
      </c>
      <c r="B3" s="286" t="s">
        <v>1</v>
      </c>
      <c r="C3" s="287" t="s">
        <v>2</v>
      </c>
      <c r="D3" s="288" t="s">
        <v>3</v>
      </c>
      <c r="E3" s="289" t="s">
        <v>130</v>
      </c>
      <c r="F3" s="289" t="s">
        <v>1450</v>
      </c>
      <c r="G3" s="289" t="s">
        <v>131</v>
      </c>
      <c r="H3" s="289" t="s">
        <v>132</v>
      </c>
      <c r="I3" s="289" t="s">
        <v>137</v>
      </c>
      <c r="J3" s="289" t="s">
        <v>133</v>
      </c>
      <c r="K3" s="289" t="s">
        <v>134</v>
      </c>
      <c r="L3" s="290" t="str">
        <f>+mayor!L3</f>
        <v>INTEREST</v>
      </c>
      <c r="M3" s="291" t="s">
        <v>12</v>
      </c>
      <c r="N3" s="289" t="s">
        <v>136</v>
      </c>
      <c r="O3" s="289" t="s">
        <v>135</v>
      </c>
      <c r="P3" s="292" t="s">
        <v>63</v>
      </c>
      <c r="Q3" s="293" t="s">
        <v>11</v>
      </c>
    </row>
    <row r="4" spans="1:17" s="7" customFormat="1" ht="17.25" customHeight="1" x14ac:dyDescent="0.25">
      <c r="C4" s="29"/>
      <c r="D4" s="30"/>
      <c r="E4" s="72"/>
      <c r="F4" s="72"/>
      <c r="G4" s="72"/>
      <c r="H4" s="72"/>
      <c r="I4" s="72"/>
      <c r="J4" s="72"/>
      <c r="K4" s="72"/>
      <c r="L4" s="72"/>
      <c r="N4" s="72"/>
      <c r="O4" s="72"/>
      <c r="P4" s="17"/>
      <c r="Q4" s="34"/>
    </row>
    <row r="6" spans="1:17" s="7" customFormat="1" ht="11" thickBot="1" x14ac:dyDescent="0.3">
      <c r="C6" s="29"/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27"/>
    </row>
    <row r="7" spans="1:17" ht="11" thickBot="1" x14ac:dyDescent="0.3">
      <c r="A7" s="284" t="s">
        <v>10</v>
      </c>
      <c r="B7" s="285" t="s">
        <v>433</v>
      </c>
      <c r="D7" s="541" t="s">
        <v>623</v>
      </c>
      <c r="E7" s="542"/>
      <c r="F7" s="543"/>
    </row>
    <row r="8" spans="1:17" x14ac:dyDescent="0.25">
      <c r="Q8" s="16"/>
    </row>
    <row r="9" spans="1:17" x14ac:dyDescent="0.25">
      <c r="A9" s="483" t="str">
        <f>+'1-10'!C25</f>
        <v>ISUZU KB200i 2x4  [034]</v>
      </c>
      <c r="B9" s="483" t="str">
        <f>+'1-10'!R25</f>
        <v xml:space="preserve">    </v>
      </c>
      <c r="C9" s="484">
        <v>624</v>
      </c>
      <c r="D9" s="6">
        <v>60000</v>
      </c>
      <c r="E9" s="520">
        <f>+D9/P9*(CALC!$A$4)*1.1</f>
        <v>232533.73313343333</v>
      </c>
      <c r="F9" s="28">
        <f>23400*(1+CALC!$B$15)</f>
        <v>25740.000000000004</v>
      </c>
      <c r="G9" s="28">
        <f>CALC!$A$23*(I9/CEM!I$148)</f>
        <v>1578.6782094720247</v>
      </c>
      <c r="H9" s="28">
        <v>35000</v>
      </c>
      <c r="I9" s="28">
        <f>11166.61</f>
        <v>11166.61</v>
      </c>
      <c r="J9" s="502"/>
      <c r="K9" s="528">
        <f>678*1.06</f>
        <v>718.68000000000006</v>
      </c>
      <c r="L9" s="28"/>
      <c r="M9" s="28">
        <f>SUM(E9:L9)</f>
        <v>306737.70134290535</v>
      </c>
      <c r="N9" s="24">
        <f>M9/CALC!$A$8*CALC!$A$6</f>
        <v>4973.7481426284667</v>
      </c>
      <c r="O9" s="28">
        <f>+M9+N9</f>
        <v>311711.44948553381</v>
      </c>
      <c r="P9" s="37">
        <v>6.67</v>
      </c>
      <c r="Q9" s="38"/>
    </row>
    <row r="10" spans="1:17" x14ac:dyDescent="0.25">
      <c r="A10" s="483" t="str">
        <f>+'1-10'!C26</f>
        <v>ISUZU KB200i 2x4 [173]</v>
      </c>
      <c r="B10" s="483" t="str">
        <f>+'1-10'!R12</f>
        <v>CMB 608 L</v>
      </c>
      <c r="C10" s="484">
        <v>611</v>
      </c>
      <c r="D10" s="6">
        <v>60000</v>
      </c>
      <c r="E10" s="520">
        <f>+D10/P9*(CALC!$A$4)*1.1</f>
        <v>232533.73313343333</v>
      </c>
      <c r="F10" s="28">
        <f>23400*(1+CALC!$B$15)</f>
        <v>25740.000000000004</v>
      </c>
      <c r="G10" s="28">
        <f>CALC!$A$23*(I10/CEM!I$148)</f>
        <v>1578.6782094720247</v>
      </c>
      <c r="H10" s="28">
        <v>35000</v>
      </c>
      <c r="I10" s="28">
        <f>11166.61</f>
        <v>11166.61</v>
      </c>
      <c r="J10" s="502"/>
      <c r="K10" s="528">
        <f>678*1.06</f>
        <v>718.68000000000006</v>
      </c>
      <c r="L10" s="28"/>
      <c r="M10" s="28">
        <f>SUM(E10:L10)</f>
        <v>306737.70134290535</v>
      </c>
      <c r="N10" s="24">
        <f>M10/CALC!$A$8*CALC!$A$6</f>
        <v>4973.7481426284667</v>
      </c>
      <c r="O10" s="28">
        <f>+M10+N10</f>
        <v>311711.44948553381</v>
      </c>
      <c r="P10" s="23"/>
      <c r="Q10" s="16"/>
    </row>
    <row r="11" spans="1:17" x14ac:dyDescent="0.25">
      <c r="A11" s="8"/>
      <c r="B11" s="8"/>
      <c r="C11" s="14"/>
      <c r="D11" s="6"/>
      <c r="E11" s="9"/>
      <c r="F11" s="9"/>
      <c r="G11" s="9"/>
      <c r="H11" s="9"/>
      <c r="I11" s="9">
        <v>0</v>
      </c>
      <c r="J11" s="9"/>
      <c r="K11" s="9"/>
      <c r="L11" s="9"/>
      <c r="M11" s="9"/>
      <c r="N11" s="9"/>
      <c r="O11" s="9"/>
      <c r="P11" s="23"/>
      <c r="Q11" s="16"/>
    </row>
    <row r="12" spans="1:17" s="7" customFormat="1" x14ac:dyDescent="0.25">
      <c r="B12" s="3" t="s">
        <v>14</v>
      </c>
      <c r="C12" s="18"/>
      <c r="D12" s="12">
        <f t="shared" ref="D12:M12" si="0">SUM(D9:D11)</f>
        <v>120000</v>
      </c>
      <c r="E12" s="10">
        <f t="shared" si="0"/>
        <v>465067.46626686666</v>
      </c>
      <c r="F12" s="10">
        <f t="shared" si="0"/>
        <v>51480.000000000007</v>
      </c>
      <c r="G12" s="10">
        <f t="shared" si="0"/>
        <v>3157.3564189440494</v>
      </c>
      <c r="H12" s="10">
        <f t="shared" si="0"/>
        <v>70000</v>
      </c>
      <c r="I12" s="10">
        <f>+I9</f>
        <v>11166.61</v>
      </c>
      <c r="J12" s="10">
        <f t="shared" si="0"/>
        <v>0</v>
      </c>
      <c r="K12" s="10">
        <f t="shared" si="0"/>
        <v>1437.3600000000001</v>
      </c>
      <c r="L12" s="10"/>
      <c r="M12" s="10">
        <f t="shared" si="0"/>
        <v>613475.4026858107</v>
      </c>
      <c r="N12" s="10">
        <f>M12/CALC!$A$8*CALC!$A$6</f>
        <v>9947.4962852569333</v>
      </c>
      <c r="O12" s="10">
        <f>+M12+N12</f>
        <v>623422.89897106763</v>
      </c>
      <c r="P12" s="25"/>
      <c r="Q12" s="111">
        <f>(+O12/D12)*(1+CALC!$A$3)</f>
        <v>5.1951908247588969</v>
      </c>
    </row>
    <row r="13" spans="1:17" x14ac:dyDescent="0.25">
      <c r="Q13" s="16"/>
    </row>
    <row r="14" spans="1:17" ht="11" thickBot="1" x14ac:dyDescent="0.3">
      <c r="Q14" s="16"/>
    </row>
    <row r="15" spans="1:17" ht="11" thickBot="1" x14ac:dyDescent="0.3">
      <c r="B15" s="84" t="s">
        <v>14</v>
      </c>
      <c r="C15" s="85"/>
      <c r="D15" s="86">
        <f>+D16</f>
        <v>120000</v>
      </c>
      <c r="E15" s="311">
        <f>+E16</f>
        <v>465067.46626686666</v>
      </c>
      <c r="F15" s="311">
        <f>+F16</f>
        <v>51480.000000000007</v>
      </c>
      <c r="G15" s="311">
        <f>+G16</f>
        <v>3157.3564189440494</v>
      </c>
      <c r="H15" s="311">
        <f t="shared" ref="H15:O15" si="1">+H16</f>
        <v>70000</v>
      </c>
      <c r="I15" s="311">
        <f t="shared" si="1"/>
        <v>11166.61</v>
      </c>
      <c r="J15" s="311">
        <f t="shared" si="1"/>
        <v>0</v>
      </c>
      <c r="K15" s="311">
        <f t="shared" si="1"/>
        <v>1437.3600000000001</v>
      </c>
      <c r="L15" s="87">
        <f t="shared" si="1"/>
        <v>0</v>
      </c>
      <c r="M15" s="87">
        <f t="shared" si="1"/>
        <v>613475.4026858107</v>
      </c>
      <c r="N15" s="87">
        <f t="shared" si="1"/>
        <v>9947.4962852569333</v>
      </c>
      <c r="O15" s="87">
        <f t="shared" si="1"/>
        <v>623422.89897106763</v>
      </c>
    </row>
    <row r="16" spans="1:17" s="7" customFormat="1" ht="11" thickBot="1" x14ac:dyDescent="0.3">
      <c r="A16" s="32" t="s">
        <v>149</v>
      </c>
      <c r="B16" s="58" t="s">
        <v>14</v>
      </c>
      <c r="C16" s="59"/>
      <c r="D16" s="82">
        <f t="shared" ref="D16:J16" si="2">+D12</f>
        <v>120000</v>
      </c>
      <c r="E16" s="312">
        <f t="shared" si="2"/>
        <v>465067.46626686666</v>
      </c>
      <c r="F16" s="312">
        <f t="shared" si="2"/>
        <v>51480.000000000007</v>
      </c>
      <c r="G16" s="312">
        <f t="shared" si="2"/>
        <v>3157.3564189440494</v>
      </c>
      <c r="H16" s="312">
        <f t="shared" si="2"/>
        <v>70000</v>
      </c>
      <c r="I16" s="312">
        <f t="shared" si="2"/>
        <v>11166.61</v>
      </c>
      <c r="J16" s="312">
        <f t="shared" si="2"/>
        <v>0</v>
      </c>
      <c r="K16" s="312">
        <f t="shared" ref="K16:O16" si="3">+K12</f>
        <v>1437.3600000000001</v>
      </c>
      <c r="L16" s="83">
        <f t="shared" si="3"/>
        <v>0</v>
      </c>
      <c r="M16" s="83">
        <f t="shared" si="3"/>
        <v>613475.4026858107</v>
      </c>
      <c r="N16" s="83">
        <f t="shared" si="3"/>
        <v>9947.4962852569333</v>
      </c>
      <c r="O16" s="83">
        <f t="shared" si="3"/>
        <v>623422.89897106763</v>
      </c>
      <c r="P16" s="33"/>
      <c r="Q16" s="33"/>
    </row>
    <row r="18" spans="4:15" x14ac:dyDescent="0.25">
      <c r="D18" s="13">
        <f>+D12</f>
        <v>120000</v>
      </c>
      <c r="E18" s="13">
        <f t="shared" ref="E18:O18" si="4">+E12</f>
        <v>465067.46626686666</v>
      </c>
      <c r="F18" s="13">
        <f t="shared" si="4"/>
        <v>51480.000000000007</v>
      </c>
      <c r="G18" s="13">
        <f t="shared" si="4"/>
        <v>3157.3564189440494</v>
      </c>
      <c r="H18" s="13">
        <f t="shared" si="4"/>
        <v>70000</v>
      </c>
      <c r="I18" s="13">
        <f t="shared" si="4"/>
        <v>11166.61</v>
      </c>
      <c r="J18" s="13">
        <f t="shared" si="4"/>
        <v>0</v>
      </c>
      <c r="K18" s="13">
        <f t="shared" si="4"/>
        <v>1437.3600000000001</v>
      </c>
      <c r="L18" s="13">
        <f t="shared" si="4"/>
        <v>0</v>
      </c>
      <c r="M18" s="13">
        <f t="shared" si="4"/>
        <v>613475.4026858107</v>
      </c>
      <c r="N18" s="13">
        <f t="shared" si="4"/>
        <v>9947.4962852569333</v>
      </c>
      <c r="O18" s="13">
        <f t="shared" si="4"/>
        <v>623422.89897106763</v>
      </c>
    </row>
    <row r="23" spans="4:15" x14ac:dyDescent="0.25">
      <c r="F23" s="45"/>
      <c r="G23" s="45"/>
    </row>
    <row r="26" spans="4:15" x14ac:dyDescent="0.25">
      <c r="F26" s="11"/>
      <c r="G26" s="11"/>
    </row>
    <row r="122" spans="6:6" x14ac:dyDescent="0.25">
      <c r="F122" s="2">
        <f>SUM(F113:F121)</f>
        <v>0</v>
      </c>
    </row>
  </sheetData>
  <customSheetViews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0" sqref="H10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Columns="1" view="pageBreakPreview">
      <pane xSplit="3" ySplit="3" topLeftCell="D10" activePane="bottomRight" state="frozen"/>
      <selection pane="bottomRight" activeCell="F10" sqref="F10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F11" sqref="F11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1">
    <mergeCell ref="D7:F7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1"/>
  </sheetPr>
  <dimension ref="A1:R127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796875" defaultRowHeight="10.5" x14ac:dyDescent="0.25"/>
  <cols>
    <col min="1" max="1" width="16.1796875" style="2" customWidth="1"/>
    <col min="2" max="2" width="11.26953125" style="2" bestFit="1" customWidth="1"/>
    <col min="3" max="3" width="4.453125" style="4" bestFit="1" customWidth="1"/>
    <col min="4" max="4" width="7.81640625" style="13" bestFit="1" customWidth="1"/>
    <col min="5" max="5" width="11.26953125" style="2" bestFit="1" customWidth="1"/>
    <col min="6" max="6" width="15.7265625" style="2" customWidth="1"/>
    <col min="7" max="9" width="11.26953125" style="2" bestFit="1" customWidth="1"/>
    <col min="10" max="10" width="15.7265625" style="2" hidden="1" customWidth="1"/>
    <col min="11" max="11" width="11.26953125" style="2" customWidth="1"/>
    <col min="12" max="12" width="10.453125" style="2" bestFit="1" customWidth="1"/>
    <col min="13" max="14" width="11.26953125" style="2" bestFit="1" customWidth="1"/>
    <col min="15" max="15" width="11.26953125" style="2" customWidth="1"/>
    <col min="16" max="16" width="8.26953125" style="11" hidden="1" customWidth="1"/>
    <col min="17" max="17" width="7.81640625" style="21" customWidth="1"/>
    <col min="18" max="19" width="10" style="2" customWidth="1"/>
    <col min="20" max="16384" width="9.1796875" style="2"/>
  </cols>
  <sheetData>
    <row r="1" spans="1:17" x14ac:dyDescent="0.25">
      <c r="A1" s="7" t="s">
        <v>1560</v>
      </c>
      <c r="D1" s="13" t="s">
        <v>72</v>
      </c>
    </row>
    <row r="3" spans="1:17" ht="33" customHeight="1" x14ac:dyDescent="0.25">
      <c r="A3" s="294" t="s">
        <v>1</v>
      </c>
      <c r="B3" s="294" t="s">
        <v>0</v>
      </c>
      <c r="C3" s="295" t="s">
        <v>2</v>
      </c>
      <c r="D3" s="296" t="s">
        <v>3</v>
      </c>
      <c r="E3" s="297" t="s">
        <v>140</v>
      </c>
      <c r="F3" s="297" t="s">
        <v>1450</v>
      </c>
      <c r="G3" s="297" t="s">
        <v>131</v>
      </c>
      <c r="H3" s="297" t="s">
        <v>132</v>
      </c>
      <c r="I3" s="297" t="s">
        <v>137</v>
      </c>
      <c r="J3" s="297" t="s">
        <v>133</v>
      </c>
      <c r="K3" s="297" t="s">
        <v>134</v>
      </c>
      <c r="L3" s="298" t="str">
        <f>+income!L3</f>
        <v>INTEREST</v>
      </c>
      <c r="M3" s="299" t="s">
        <v>12</v>
      </c>
      <c r="N3" s="297" t="s">
        <v>141</v>
      </c>
      <c r="O3" s="297" t="s">
        <v>135</v>
      </c>
      <c r="P3" s="300" t="s">
        <v>63</v>
      </c>
      <c r="Q3" s="301" t="s">
        <v>11</v>
      </c>
    </row>
    <row r="4" spans="1:17" s="7" customFormat="1" ht="17.25" customHeight="1" x14ac:dyDescent="0.25">
      <c r="C4" s="29"/>
      <c r="D4" s="30"/>
      <c r="E4" s="72"/>
      <c r="F4" s="72"/>
      <c r="G4" s="72"/>
      <c r="H4" s="72"/>
      <c r="I4" s="72"/>
      <c r="J4" s="72"/>
      <c r="K4" s="72"/>
      <c r="L4" s="72"/>
      <c r="N4" s="72"/>
      <c r="O4" s="72"/>
      <c r="P4" s="17"/>
      <c r="Q4" s="34"/>
    </row>
    <row r="5" spans="1:17" ht="11" thickBot="1" x14ac:dyDescent="0.3"/>
    <row r="6" spans="1:17" ht="11" thickBot="1" x14ac:dyDescent="0.3">
      <c r="A6" s="284" t="s">
        <v>10</v>
      </c>
      <c r="B6" s="285" t="s">
        <v>427</v>
      </c>
      <c r="D6" s="541" t="s">
        <v>623</v>
      </c>
      <c r="E6" s="542"/>
      <c r="F6" s="543"/>
      <c r="Q6" s="16"/>
    </row>
    <row r="7" spans="1:17" x14ac:dyDescent="0.25">
      <c r="Q7" s="16"/>
    </row>
    <row r="8" spans="1:17" x14ac:dyDescent="0.25">
      <c r="A8" s="487" t="str">
        <f>+'1-10'!C15</f>
        <v>ISUZU KB200i 2x4 [037]</v>
      </c>
      <c r="B8" s="483" t="str">
        <f>+'1-10'!R15</f>
        <v>CMB 428 L</v>
      </c>
      <c r="C8" s="484">
        <v>614</v>
      </c>
      <c r="D8" s="6">
        <v>6300</v>
      </c>
      <c r="E8" s="520">
        <f>+D8/P8*(CALC!$A$4)*1.25</f>
        <v>29375</v>
      </c>
      <c r="F8" s="28">
        <v>3000</v>
      </c>
      <c r="G8" s="28">
        <f>CALC!$A$23*(I8/CEM!I$148)</f>
        <v>2176.3023664387702</v>
      </c>
      <c r="H8" s="28">
        <v>35000</v>
      </c>
      <c r="I8" s="28">
        <f>15393.84</f>
        <v>15393.84</v>
      </c>
      <c r="J8" s="28"/>
      <c r="K8" s="528">
        <f>678*1.06</f>
        <v>718.68000000000006</v>
      </c>
      <c r="L8" s="28"/>
      <c r="M8" s="28">
        <f>SUM(E8:L8)</f>
        <v>85663.822366438762</v>
      </c>
      <c r="N8" s="28">
        <f>M8/CALC!$A$8*CALC!$A$6</f>
        <v>1389.0378506462794</v>
      </c>
      <c r="O8" s="28">
        <f>+M8+N8</f>
        <v>87052.860217085035</v>
      </c>
      <c r="P8" s="37">
        <v>6.3</v>
      </c>
      <c r="Q8" s="38"/>
    </row>
    <row r="9" spans="1:17" x14ac:dyDescent="0.25">
      <c r="A9" s="519" t="str">
        <f>+'1-10'!C12</f>
        <v>ISUZU KB200i 2x4 [036]</v>
      </c>
      <c r="B9" s="514" t="str">
        <f>+'1-10'!R12</f>
        <v>CMB 608 L</v>
      </c>
      <c r="C9" s="515">
        <v>611</v>
      </c>
      <c r="D9" s="6">
        <v>10000</v>
      </c>
      <c r="E9" s="523">
        <f>+D9/P9*(CALC!$A$4)</f>
        <v>35232.383808095954</v>
      </c>
      <c r="F9" s="28">
        <v>23400</v>
      </c>
      <c r="G9" s="28">
        <f>CALC!$A$23*(I9/CEM!I$148)</f>
        <v>2176.3023664387702</v>
      </c>
      <c r="H9" s="28">
        <v>35000</v>
      </c>
      <c r="I9" s="482">
        <v>15393.84</v>
      </c>
      <c r="J9" s="28"/>
      <c r="K9" s="28">
        <f t="shared" ref="K9:K10" si="0">678*1.06</f>
        <v>718.68000000000006</v>
      </c>
      <c r="L9" s="28"/>
      <c r="M9" s="28">
        <f>SUM(E9:L9)</f>
        <v>111921.20617453472</v>
      </c>
      <c r="N9" s="24">
        <f>M9/CALC!$A$8*CALC!$A$6</f>
        <v>1814.8010136811474</v>
      </c>
      <c r="O9" s="28">
        <f>+M9+N9</f>
        <v>113736.00718821587</v>
      </c>
      <c r="P9" s="37">
        <v>6.67</v>
      </c>
      <c r="Q9" s="38"/>
    </row>
    <row r="10" spans="1:17" x14ac:dyDescent="0.25">
      <c r="A10" s="487" t="str">
        <f>+'1-10'!C27</f>
        <v>ISUZU KB200i 2x4 [037]</v>
      </c>
      <c r="B10" s="483" t="str">
        <f>+'1-10'!R27</f>
        <v>CMB 620 L</v>
      </c>
      <c r="C10" s="484">
        <v>626</v>
      </c>
      <c r="D10" s="6">
        <v>5000</v>
      </c>
      <c r="E10" s="520">
        <f>+D10/P10*(CALC!$A$4)</f>
        <v>17616.191904047977</v>
      </c>
      <c r="F10" s="28">
        <v>3000</v>
      </c>
      <c r="G10" s="28">
        <f>CALC!$A$23*(I10/CEM!I$148)</f>
        <v>2178.5799158431637</v>
      </c>
      <c r="H10" s="28">
        <v>35000</v>
      </c>
      <c r="I10" s="28">
        <f>15409.95</f>
        <v>15409.95</v>
      </c>
      <c r="J10" s="28"/>
      <c r="K10" s="528">
        <f t="shared" si="0"/>
        <v>718.68000000000006</v>
      </c>
      <c r="L10" s="502"/>
      <c r="M10" s="28">
        <f t="shared" ref="M10" si="1">SUM(E10:L10)</f>
        <v>73923.401819891136</v>
      </c>
      <c r="N10" s="28">
        <f>M10/CALC!$A$8*CALC!$A$6</f>
        <v>1198.6670725142847</v>
      </c>
      <c r="O10" s="28">
        <f t="shared" ref="O10" si="2">+M10+N10</f>
        <v>75122.068892405427</v>
      </c>
      <c r="P10" s="37">
        <v>6.67</v>
      </c>
      <c r="Q10" s="38"/>
    </row>
    <row r="11" spans="1:17" s="7" customFormat="1" x14ac:dyDescent="0.25">
      <c r="B11" s="3" t="s">
        <v>14</v>
      </c>
      <c r="C11" s="18"/>
      <c r="D11" s="12">
        <f t="shared" ref="D11:M11" si="3">SUM(D8:D10)</f>
        <v>21300</v>
      </c>
      <c r="E11" s="10">
        <f t="shared" si="3"/>
        <v>82223.575712143938</v>
      </c>
      <c r="F11" s="10">
        <f t="shared" si="3"/>
        <v>29400</v>
      </c>
      <c r="G11" s="10">
        <f t="shared" si="3"/>
        <v>6531.184648720704</v>
      </c>
      <c r="H11" s="10">
        <f t="shared" si="3"/>
        <v>105000</v>
      </c>
      <c r="I11" s="10">
        <f t="shared" si="3"/>
        <v>46197.630000000005</v>
      </c>
      <c r="J11" s="24">
        <f t="shared" si="3"/>
        <v>0</v>
      </c>
      <c r="K11" s="10">
        <f>SUM(K8:K10)</f>
        <v>2156.04</v>
      </c>
      <c r="L11" s="10">
        <f>SUM(L8:L10)</f>
        <v>0</v>
      </c>
      <c r="M11" s="10">
        <f t="shared" si="3"/>
        <v>271508.43036086462</v>
      </c>
      <c r="N11" s="10">
        <f>M11/CALC!$A$8*CALC!$A$6</f>
        <v>4402.5059368417114</v>
      </c>
      <c r="O11" s="10">
        <f>+M11+N11</f>
        <v>275910.93629770633</v>
      </c>
      <c r="P11" s="25"/>
      <c r="Q11" s="111">
        <f>(+O11/D11)*(1+CALC!$A$3)</f>
        <v>12.953565084399358</v>
      </c>
    </row>
    <row r="12" spans="1:17" ht="11" thickBot="1" x14ac:dyDescent="0.3">
      <c r="Q12" s="16"/>
    </row>
    <row r="13" spans="1:17" ht="11" thickBot="1" x14ac:dyDescent="0.3">
      <c r="A13" s="284" t="s">
        <v>10</v>
      </c>
      <c r="B13" s="285" t="s">
        <v>428</v>
      </c>
      <c r="D13" s="541" t="s">
        <v>200</v>
      </c>
      <c r="E13" s="542"/>
      <c r="F13" s="543"/>
      <c r="Q13" s="16"/>
    </row>
    <row r="14" spans="1:17" x14ac:dyDescent="0.25">
      <c r="Q14" s="16"/>
    </row>
    <row r="15" spans="1:17" x14ac:dyDescent="0.25">
      <c r="A15" s="505" t="str">
        <f>+'1-10'!C48</f>
        <v>NISSAN NP 300 4X4 [037]</v>
      </c>
      <c r="B15" s="483" t="str">
        <f>+'1-10'!R48</f>
        <v>CLX 118 L</v>
      </c>
      <c r="C15" s="484">
        <v>647</v>
      </c>
      <c r="D15" s="6">
        <v>10000</v>
      </c>
      <c r="E15" s="520">
        <f>+D15/P15*(CALC!$A$4)*1.2</f>
        <v>35786.802030456849</v>
      </c>
      <c r="F15" s="28">
        <v>3000</v>
      </c>
      <c r="G15" s="28">
        <f>CALC!$A$23*(I15/CEM!I$148)</f>
        <v>3053.4600156362421</v>
      </c>
      <c r="H15" s="28">
        <v>40000</v>
      </c>
      <c r="I15" s="28">
        <f>21598.32</f>
        <v>21598.32</v>
      </c>
      <c r="J15" s="28"/>
      <c r="K15" s="528">
        <f>678*1.06</f>
        <v>718.68000000000006</v>
      </c>
      <c r="L15" s="28"/>
      <c r="M15" s="28">
        <f>SUM(E15:L15)</f>
        <v>104157.26204609309</v>
      </c>
      <c r="N15" s="24">
        <f>M15/CALC!$A$8*CALC!$A$6</f>
        <v>1688.9087529018354</v>
      </c>
      <c r="O15" s="28">
        <f>+M15+N15</f>
        <v>105846.17079899492</v>
      </c>
      <c r="P15" s="37">
        <v>7.88</v>
      </c>
      <c r="Q15" s="38"/>
    </row>
    <row r="16" spans="1:17" s="7" customFormat="1" x14ac:dyDescent="0.25">
      <c r="B16" s="3" t="s">
        <v>14</v>
      </c>
      <c r="C16" s="18"/>
      <c r="D16" s="12">
        <f t="shared" ref="D16:M16" si="4">SUM(D15:D15)</f>
        <v>10000</v>
      </c>
      <c r="E16" s="10">
        <f t="shared" si="4"/>
        <v>35786.802030456849</v>
      </c>
      <c r="F16" s="10">
        <f t="shared" si="4"/>
        <v>3000</v>
      </c>
      <c r="G16" s="10">
        <f t="shared" si="4"/>
        <v>3053.4600156362421</v>
      </c>
      <c r="H16" s="10">
        <f t="shared" si="4"/>
        <v>40000</v>
      </c>
      <c r="I16" s="10">
        <f t="shared" si="4"/>
        <v>21598.32</v>
      </c>
      <c r="J16" s="10">
        <f t="shared" si="4"/>
        <v>0</v>
      </c>
      <c r="K16" s="10">
        <f t="shared" si="4"/>
        <v>718.68000000000006</v>
      </c>
      <c r="L16" s="10">
        <f t="shared" si="4"/>
        <v>0</v>
      </c>
      <c r="M16" s="10">
        <f t="shared" si="4"/>
        <v>104157.26204609309</v>
      </c>
      <c r="N16" s="10">
        <f>M16/CALC!$A$8*CALC!$A$6</f>
        <v>1688.9087529018354</v>
      </c>
      <c r="O16" s="10">
        <f>+M16+N16</f>
        <v>105846.17079899492</v>
      </c>
      <c r="P16" s="25"/>
      <c r="Q16" s="111">
        <f>(+O16/D16)*(1+CALC!$A$3)</f>
        <v>10.584617079899493</v>
      </c>
    </row>
    <row r="17" spans="1:18" x14ac:dyDescent="0.25">
      <c r="Q17" s="16"/>
    </row>
    <row r="18" spans="1:18" ht="11" thickBot="1" x14ac:dyDescent="0.3">
      <c r="Q18" s="16"/>
    </row>
    <row r="19" spans="1:18" s="7" customFormat="1" ht="11" thickBot="1" x14ac:dyDescent="0.3">
      <c r="A19" s="32" t="s">
        <v>74</v>
      </c>
      <c r="B19" s="58" t="s">
        <v>14</v>
      </c>
      <c r="C19" s="59"/>
      <c r="D19" s="60">
        <f t="shared" ref="D19:O19" si="5">+D11+D16</f>
        <v>31300</v>
      </c>
      <c r="E19" s="61">
        <f t="shared" si="5"/>
        <v>118010.37774260079</v>
      </c>
      <c r="F19" s="61">
        <f t="shared" si="5"/>
        <v>32400</v>
      </c>
      <c r="G19" s="61">
        <f t="shared" si="5"/>
        <v>9584.644664356947</v>
      </c>
      <c r="H19" s="61">
        <f t="shared" si="5"/>
        <v>145000</v>
      </c>
      <c r="I19" s="61">
        <f t="shared" si="5"/>
        <v>67795.950000000012</v>
      </c>
      <c r="J19" s="61">
        <f t="shared" si="5"/>
        <v>0</v>
      </c>
      <c r="K19" s="61">
        <f t="shared" si="5"/>
        <v>2874.7200000000003</v>
      </c>
      <c r="L19" s="61">
        <f t="shared" si="5"/>
        <v>0</v>
      </c>
      <c r="M19" s="61">
        <f t="shared" si="5"/>
        <v>375665.69240695774</v>
      </c>
      <c r="N19" s="61">
        <f t="shared" si="5"/>
        <v>6091.4146897435467</v>
      </c>
      <c r="O19" s="62">
        <f t="shared" si="5"/>
        <v>381757.10709670128</v>
      </c>
      <c r="P19" s="33"/>
      <c r="Q19" s="33"/>
    </row>
    <row r="22" spans="1:18" x14ac:dyDescent="0.25">
      <c r="D22" s="13">
        <f t="shared" ref="D22:O22" si="6">+D11+D16</f>
        <v>31300</v>
      </c>
      <c r="E22" s="13">
        <f t="shared" si="6"/>
        <v>118010.37774260079</v>
      </c>
      <c r="F22" s="13">
        <f t="shared" si="6"/>
        <v>32400</v>
      </c>
      <c r="G22" s="13">
        <f t="shared" si="6"/>
        <v>9584.644664356947</v>
      </c>
      <c r="H22" s="13">
        <f t="shared" si="6"/>
        <v>145000</v>
      </c>
      <c r="I22" s="13">
        <f t="shared" si="6"/>
        <v>67795.950000000012</v>
      </c>
      <c r="J22" s="13">
        <f t="shared" si="6"/>
        <v>0</v>
      </c>
      <c r="K22" s="13">
        <f t="shared" si="6"/>
        <v>2874.7200000000003</v>
      </c>
      <c r="L22" s="13">
        <f t="shared" si="6"/>
        <v>0</v>
      </c>
      <c r="M22" s="13">
        <f t="shared" si="6"/>
        <v>375665.69240695774</v>
      </c>
      <c r="N22" s="13">
        <f t="shared" si="6"/>
        <v>6091.4146897435467</v>
      </c>
      <c r="O22" s="13">
        <f t="shared" si="6"/>
        <v>381757.10709670128</v>
      </c>
      <c r="P22" s="13"/>
      <c r="Q22" s="13"/>
      <c r="R22" s="13"/>
    </row>
    <row r="25" spans="1:18" x14ac:dyDescent="0.25">
      <c r="E25" s="45"/>
    </row>
    <row r="27" spans="1:18" x14ac:dyDescent="0.25">
      <c r="E27" s="11"/>
    </row>
    <row r="127" spans="6:6" x14ac:dyDescent="0.25">
      <c r="F127" s="2">
        <f>SUM(F118:F126)</f>
        <v>0</v>
      </c>
    </row>
  </sheetData>
  <customSheetViews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5" sqref="H15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A9" sqref="A9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B9" sqref="B9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2">
    <mergeCell ref="D6:F6"/>
    <mergeCell ref="D13:F13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6"/>
  </sheetPr>
  <dimension ref="A1:Q455"/>
  <sheetViews>
    <sheetView view="pageBreakPreview" zoomScaleSheetLayoutView="100" workbookViewId="0">
      <pane xSplit="3" ySplit="3" topLeftCell="D60" activePane="bottomRight" state="frozen"/>
      <selection pane="topRight" activeCell="D1" sqref="D1"/>
      <selection pane="bottomLeft" activeCell="A4" sqref="A4"/>
      <selection pane="bottomRight" activeCell="E70" sqref="E70:E71"/>
    </sheetView>
  </sheetViews>
  <sheetFormatPr defaultColWidth="10" defaultRowHeight="10.5" x14ac:dyDescent="0.25"/>
  <cols>
    <col min="1" max="1" width="23.453125" style="2" bestFit="1" customWidth="1"/>
    <col min="2" max="2" width="19.81640625" style="2" bestFit="1" customWidth="1"/>
    <col min="3" max="3" width="3.81640625" style="4" customWidth="1"/>
    <col min="4" max="4" width="8.54296875" style="13" bestFit="1" customWidth="1"/>
    <col min="5" max="5" width="15.1796875" style="2" customWidth="1"/>
    <col min="6" max="6" width="10.7265625" style="2" customWidth="1"/>
    <col min="7" max="7" width="12.453125" style="2" bestFit="1" customWidth="1"/>
    <col min="8" max="9" width="13.1796875" style="2" bestFit="1" customWidth="1"/>
    <col min="10" max="10" width="9.54296875" style="2" customWidth="1"/>
    <col min="11" max="12" width="11.26953125" style="2" bestFit="1" customWidth="1"/>
    <col min="13" max="13" width="13.1796875" style="2" bestFit="1" customWidth="1"/>
    <col min="14" max="14" width="11.26953125" style="2" bestFit="1" customWidth="1"/>
    <col min="15" max="15" width="13.1796875" style="2" customWidth="1"/>
    <col min="16" max="16" width="8.36328125" style="11" customWidth="1"/>
    <col min="17" max="17" width="7.81640625" style="21" bestFit="1" customWidth="1"/>
    <col min="18" max="16384" width="10" style="2"/>
  </cols>
  <sheetData>
    <row r="1" spans="1:17" ht="12" customHeight="1" x14ac:dyDescent="0.25">
      <c r="A1" s="7" t="s">
        <v>1560</v>
      </c>
      <c r="E1" s="2" t="s">
        <v>73</v>
      </c>
    </row>
    <row r="3" spans="1:17" s="7" customFormat="1" ht="31.5" x14ac:dyDescent="0.25">
      <c r="A3" s="286" t="s">
        <v>1</v>
      </c>
      <c r="B3" s="286" t="s">
        <v>0</v>
      </c>
      <c r="C3" s="287" t="s">
        <v>2</v>
      </c>
      <c r="D3" s="288" t="s">
        <v>3</v>
      </c>
      <c r="E3" s="289" t="s">
        <v>142</v>
      </c>
      <c r="F3" s="289" t="s">
        <v>1450</v>
      </c>
      <c r="G3" s="289" t="s">
        <v>131</v>
      </c>
      <c r="H3" s="289" t="s">
        <v>132</v>
      </c>
      <c r="I3" s="289" t="s">
        <v>137</v>
      </c>
      <c r="J3" s="289" t="s">
        <v>133</v>
      </c>
      <c r="K3" s="289" t="s">
        <v>134</v>
      </c>
      <c r="L3" s="290" t="str">
        <f>+mayor!L3</f>
        <v>INTEREST</v>
      </c>
      <c r="M3" s="291" t="s">
        <v>12</v>
      </c>
      <c r="N3" s="289" t="s">
        <v>136</v>
      </c>
      <c r="O3" s="289" t="s">
        <v>135</v>
      </c>
      <c r="P3" s="292" t="s">
        <v>63</v>
      </c>
      <c r="Q3" s="293" t="s">
        <v>11</v>
      </c>
    </row>
    <row r="4" spans="1:17" ht="11" thickBot="1" x14ac:dyDescent="0.3"/>
    <row r="5" spans="1:17" ht="11" thickBot="1" x14ac:dyDescent="0.3">
      <c r="A5" s="284" t="s">
        <v>10</v>
      </c>
      <c r="B5" s="285" t="s">
        <v>429</v>
      </c>
      <c r="D5" s="541" t="s">
        <v>623</v>
      </c>
      <c r="E5" s="542"/>
      <c r="F5" s="543"/>
    </row>
    <row r="7" spans="1:17" x14ac:dyDescent="0.25">
      <c r="A7" s="483" t="str">
        <f>+'1-10'!C20</f>
        <v>ISUZU KB200i 2x4 [105]</v>
      </c>
      <c r="B7" s="483" t="str">
        <f>+'1-10'!R20</f>
        <v>CMB 593 L</v>
      </c>
      <c r="C7" s="484">
        <v>619</v>
      </c>
      <c r="D7" s="6">
        <v>20000</v>
      </c>
      <c r="E7" s="520">
        <f>+D7/P7*(CALC!$A$4)</f>
        <v>70464.767616191908</v>
      </c>
      <c r="F7" s="9">
        <v>23400</v>
      </c>
      <c r="G7" s="28">
        <f>CALC!$A$23*(I7/CEM!I$148)</f>
        <v>2176.3023664387702</v>
      </c>
      <c r="H7" s="9">
        <v>35000</v>
      </c>
      <c r="I7" s="9">
        <v>15393.84</v>
      </c>
      <c r="J7" s="28"/>
      <c r="K7" s="528">
        <f>678*1.06</f>
        <v>718.68000000000006</v>
      </c>
      <c r="L7" s="9"/>
      <c r="M7" s="9">
        <f>SUM(E7:L7)</f>
        <v>147153.58998263068</v>
      </c>
      <c r="N7" s="10">
        <f>M7/CALC!$A$8*CALC!$A$6</f>
        <v>2386.0936939049952</v>
      </c>
      <c r="O7" s="9">
        <f>+M7+N7</f>
        <v>149539.68367653567</v>
      </c>
      <c r="P7" s="37">
        <v>6.67</v>
      </c>
      <c r="Q7" s="16"/>
    </row>
    <row r="8" spans="1:17" x14ac:dyDescent="0.25">
      <c r="A8" s="36"/>
      <c r="B8" s="8"/>
      <c r="C8" s="14"/>
      <c r="D8" s="6"/>
      <c r="E8" s="9"/>
      <c r="F8" s="9"/>
      <c r="G8" s="9"/>
      <c r="H8" s="9"/>
      <c r="I8" s="9"/>
      <c r="J8" s="28"/>
      <c r="K8" s="9"/>
      <c r="L8" s="9"/>
      <c r="M8" s="9"/>
      <c r="N8" s="9"/>
      <c r="O8" s="9"/>
      <c r="P8" s="23"/>
      <c r="Q8" s="16"/>
    </row>
    <row r="9" spans="1:17" s="7" customFormat="1" x14ac:dyDescent="0.25">
      <c r="B9" s="3" t="s">
        <v>14</v>
      </c>
      <c r="C9" s="18"/>
      <c r="D9" s="12">
        <f t="shared" ref="D9:M9" si="0">SUM(D7:D8)</f>
        <v>20000</v>
      </c>
      <c r="E9" s="10">
        <f t="shared" si="0"/>
        <v>70464.767616191908</v>
      </c>
      <c r="F9" s="10">
        <f t="shared" si="0"/>
        <v>23400</v>
      </c>
      <c r="G9" s="10">
        <f t="shared" si="0"/>
        <v>2176.3023664387702</v>
      </c>
      <c r="H9" s="10">
        <f t="shared" si="0"/>
        <v>35000</v>
      </c>
      <c r="I9" s="10">
        <f t="shared" si="0"/>
        <v>15393.84</v>
      </c>
      <c r="J9" s="24">
        <f t="shared" si="0"/>
        <v>0</v>
      </c>
      <c r="K9" s="10">
        <f t="shared" si="0"/>
        <v>718.68000000000006</v>
      </c>
      <c r="L9" s="10">
        <f>+L7</f>
        <v>0</v>
      </c>
      <c r="M9" s="10">
        <f t="shared" si="0"/>
        <v>147153.58998263068</v>
      </c>
      <c r="N9" s="10">
        <f>+N7</f>
        <v>2386.0936939049952</v>
      </c>
      <c r="O9" s="10">
        <f>+M9+N9</f>
        <v>149539.68367653567</v>
      </c>
      <c r="P9" s="25"/>
      <c r="Q9" s="111">
        <f>(+O9/D9)*(1+CALC!$A$3)</f>
        <v>7.4769841838267839</v>
      </c>
    </row>
    <row r="10" spans="1:17" s="7" customFormat="1" ht="11" thickBot="1" x14ac:dyDescent="0.3">
      <c r="C10" s="29"/>
      <c r="D10" s="30"/>
      <c r="E10" s="31"/>
      <c r="F10" s="31"/>
      <c r="G10" s="31"/>
      <c r="H10" s="31"/>
      <c r="I10" s="31"/>
      <c r="J10" s="17"/>
      <c r="K10" s="31"/>
      <c r="L10" s="31"/>
      <c r="M10" s="31"/>
      <c r="N10" s="31"/>
      <c r="O10" s="31"/>
      <c r="P10" s="31"/>
      <c r="Q10" s="27"/>
    </row>
    <row r="11" spans="1:17" ht="11" thickBot="1" x14ac:dyDescent="0.3">
      <c r="A11" s="284" t="s">
        <v>10</v>
      </c>
      <c r="B11" s="285" t="s">
        <v>430</v>
      </c>
      <c r="D11" s="541" t="s">
        <v>624</v>
      </c>
      <c r="E11" s="542"/>
      <c r="F11" s="543"/>
    </row>
    <row r="13" spans="1:17" x14ac:dyDescent="0.25">
      <c r="A13" s="483" t="str">
        <f>+'1-10'!C54</f>
        <v>TOYOTA DYNA 150 [105]</v>
      </c>
      <c r="B13" s="483" t="str">
        <f>+'1-10'!R54</f>
        <v>CMN 322 L</v>
      </c>
      <c r="C13" s="484">
        <v>653</v>
      </c>
      <c r="D13" s="6">
        <v>20000</v>
      </c>
      <c r="E13" s="520">
        <f>+D13/P13*(CALC!$A$4)</f>
        <v>67142.857142857145</v>
      </c>
      <c r="F13" s="28">
        <v>23400</v>
      </c>
      <c r="G13" s="28">
        <f>CALC!$A$23*(I13/CEM!I$148)</f>
        <v>3088.9465256298372</v>
      </c>
      <c r="H13" s="28">
        <v>35000</v>
      </c>
      <c r="I13" s="28">
        <f>21849.33</f>
        <v>21849.33</v>
      </c>
      <c r="J13" s="28"/>
      <c r="K13" s="482">
        <f>1110*1.06</f>
        <v>1176.6000000000001</v>
      </c>
      <c r="L13" s="28"/>
      <c r="M13" s="28">
        <f>SUM(E13:L13)</f>
        <v>151657.733668487</v>
      </c>
      <c r="N13" s="28">
        <f>M13/CALC!$A$8*CALC!$A$6</f>
        <v>2459.1283296657148</v>
      </c>
      <c r="O13" s="28">
        <f>+M13+N13</f>
        <v>154116.86199815272</v>
      </c>
      <c r="P13" s="37">
        <v>7</v>
      </c>
      <c r="Q13" s="38"/>
    </row>
    <row r="14" spans="1:17" x14ac:dyDescent="0.25">
      <c r="A14" s="514" t="str">
        <f>+'1-10'!C55</f>
        <v>TOYOTA DYNA 150 [105]</v>
      </c>
      <c r="B14" s="514" t="str">
        <f>+'1-10'!R55</f>
        <v>CMN 328 L</v>
      </c>
      <c r="C14" s="515">
        <v>654</v>
      </c>
      <c r="D14" s="6">
        <v>15000</v>
      </c>
      <c r="E14" s="520">
        <f>+D14/P14*(CALC!$A$4)</f>
        <v>50357.142857142855</v>
      </c>
      <c r="F14" s="28">
        <v>23400</v>
      </c>
      <c r="G14" s="28">
        <f>CALC!$A$23*(I14/CEM!I$148)</f>
        <v>3107.5231855762868</v>
      </c>
      <c r="H14" s="28">
        <v>35000</v>
      </c>
      <c r="I14" s="28">
        <f>21980.73</f>
        <v>21980.73</v>
      </c>
      <c r="J14" s="28"/>
      <c r="K14" s="528">
        <f>1110*1.06</f>
        <v>1176.6000000000001</v>
      </c>
      <c r="L14" s="28"/>
      <c r="M14" s="28">
        <f>SUM(E14:L14)</f>
        <v>135021.99604271914</v>
      </c>
      <c r="N14" s="28">
        <f>M14/CALC!$A$8*CALC!$A$6</f>
        <v>2189.380043898524</v>
      </c>
      <c r="O14" s="28">
        <f>+M14+N14</f>
        <v>137211.37608661767</v>
      </c>
      <c r="P14" s="37">
        <v>7</v>
      </c>
      <c r="Q14" s="38"/>
    </row>
    <row r="15" spans="1:17" s="7" customFormat="1" x14ac:dyDescent="0.25">
      <c r="A15" s="3"/>
      <c r="B15" s="3"/>
      <c r="C15" s="18"/>
      <c r="D15" s="12"/>
      <c r="E15" s="112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39"/>
      <c r="Q15" s="34"/>
    </row>
    <row r="16" spans="1:17" s="7" customFormat="1" x14ac:dyDescent="0.25">
      <c r="B16" s="3" t="s">
        <v>14</v>
      </c>
      <c r="C16" s="18"/>
      <c r="D16" s="12">
        <f t="shared" ref="D16:K16" si="1">SUM(D13:D15)</f>
        <v>35000</v>
      </c>
      <c r="E16" s="10">
        <f t="shared" si="1"/>
        <v>117500</v>
      </c>
      <c r="F16" s="10">
        <f t="shared" si="1"/>
        <v>46800</v>
      </c>
      <c r="G16" s="10">
        <f t="shared" si="1"/>
        <v>6196.469711206124</v>
      </c>
      <c r="H16" s="10">
        <f t="shared" si="1"/>
        <v>70000</v>
      </c>
      <c r="I16" s="10">
        <f t="shared" si="1"/>
        <v>43830.06</v>
      </c>
      <c r="J16" s="24">
        <f>SUM(J13:J15)</f>
        <v>0</v>
      </c>
      <c r="K16" s="10">
        <f t="shared" si="1"/>
        <v>2353.2000000000003</v>
      </c>
      <c r="L16" s="10">
        <f>+L13+L14</f>
        <v>0</v>
      </c>
      <c r="M16" s="10">
        <f>SUM(M13:M15)</f>
        <v>286679.72971120616</v>
      </c>
      <c r="N16" s="10">
        <f>+N13</f>
        <v>2459.1283296657148</v>
      </c>
      <c r="O16" s="10">
        <f>+M16+N16</f>
        <v>289138.85804087186</v>
      </c>
      <c r="P16" s="25"/>
      <c r="Q16" s="111">
        <f>(+O16/D16)*(1+CALC!$A$3)</f>
        <v>8.2611102297391952</v>
      </c>
    </row>
    <row r="17" spans="1:17" s="7" customFormat="1" ht="11" thickBot="1" x14ac:dyDescent="0.3">
      <c r="C17" s="29"/>
      <c r="D17" s="30"/>
      <c r="E17" s="31"/>
      <c r="F17" s="31"/>
      <c r="G17" s="31"/>
      <c r="H17" s="31"/>
      <c r="I17" s="31"/>
      <c r="J17" s="17"/>
      <c r="K17" s="31"/>
      <c r="L17" s="31"/>
      <c r="M17" s="31"/>
      <c r="N17" s="31"/>
      <c r="O17" s="31"/>
      <c r="P17" s="31"/>
      <c r="Q17" s="27"/>
    </row>
    <row r="18" spans="1:17" ht="11" thickBot="1" x14ac:dyDescent="0.3">
      <c r="A18" s="284" t="s">
        <v>10</v>
      </c>
      <c r="B18" s="285" t="s">
        <v>431</v>
      </c>
      <c r="D18" s="541" t="s">
        <v>625</v>
      </c>
      <c r="E18" s="542"/>
      <c r="F18" s="543"/>
      <c r="Q18" s="16"/>
    </row>
    <row r="19" spans="1:17" x14ac:dyDescent="0.25">
      <c r="Q19" s="16"/>
    </row>
    <row r="20" spans="1:17" x14ac:dyDescent="0.25">
      <c r="A20" s="514" t="str">
        <f>+'1-10'!C61</f>
        <v>NISSAN   UD 40A M02 [105]</v>
      </c>
      <c r="B20" s="514" t="str">
        <f>+'1-10'!R61</f>
        <v>CMJ 505 L</v>
      </c>
      <c r="C20" s="515">
        <v>660</v>
      </c>
      <c r="D20" s="6">
        <v>15000</v>
      </c>
      <c r="E20" s="520">
        <f>+D20/P20*(CALC!$A$4)</f>
        <v>176250</v>
      </c>
      <c r="F20" s="28">
        <v>23400</v>
      </c>
      <c r="G20" s="28">
        <f>CALC!$A$23*(I20/CEM!I$148)</f>
        <v>4138.3327152623388</v>
      </c>
      <c r="H20" s="28">
        <v>50000</v>
      </c>
      <c r="I20" s="28">
        <f>29272.05</f>
        <v>29272.05</v>
      </c>
      <c r="J20" s="28"/>
      <c r="K20" s="528">
        <f>1716*1.06</f>
        <v>1818.96</v>
      </c>
      <c r="L20" s="28"/>
      <c r="M20" s="28">
        <f>SUM(E20:L20)</f>
        <v>284879.34271526238</v>
      </c>
      <c r="N20" s="24">
        <f>M20/CALC!$A$8*CALC!$A$6</f>
        <v>4619.315120051926</v>
      </c>
      <c r="O20" s="28">
        <f>+M20+N20</f>
        <v>289498.65783531428</v>
      </c>
      <c r="P20" s="37">
        <v>2</v>
      </c>
      <c r="Q20" s="38"/>
    </row>
    <row r="21" spans="1:17" x14ac:dyDescent="0.25">
      <c r="A21" s="483" t="str">
        <f>+'1-10'!C66</f>
        <v>NISSAN   UD 40A M02 [105]</v>
      </c>
      <c r="B21" s="483" t="str">
        <f>+'1-10'!R66</f>
        <v>CMN 471 L</v>
      </c>
      <c r="C21" s="484">
        <v>665</v>
      </c>
      <c r="D21" s="6">
        <v>10000</v>
      </c>
      <c r="E21" s="520">
        <f>+D21/P21*(CALC!$A$4)</f>
        <v>117500</v>
      </c>
      <c r="F21" s="28">
        <v>23400</v>
      </c>
      <c r="G21" s="28">
        <f>CALC!$A$23*(I21/CEM!I$148)</f>
        <v>4168.0044762179004</v>
      </c>
      <c r="H21" s="28">
        <v>50000</v>
      </c>
      <c r="I21" s="28">
        <f>29481.93</f>
        <v>29481.93</v>
      </c>
      <c r="J21" s="28"/>
      <c r="K21" s="528">
        <f>1932*1.06</f>
        <v>2047.92</v>
      </c>
      <c r="L21" s="28"/>
      <c r="M21" s="28">
        <f>SUM(E21:L21)</f>
        <v>226597.85447621791</v>
      </c>
      <c r="N21" s="24">
        <f>M21/CALC!$A$8*CALC!$A$6</f>
        <v>3674.2814883546171</v>
      </c>
      <c r="O21" s="28">
        <f>+M21+N21</f>
        <v>230272.13596457252</v>
      </c>
      <c r="P21" s="37">
        <v>2</v>
      </c>
      <c r="Q21" s="38"/>
    </row>
    <row r="22" spans="1:17" x14ac:dyDescent="0.25">
      <c r="A22" s="8"/>
      <c r="B22" s="8"/>
      <c r="C22" s="14"/>
      <c r="D22" s="6"/>
      <c r="E22" s="48"/>
      <c r="F22" s="28"/>
      <c r="G22" s="28"/>
      <c r="H22" s="28"/>
      <c r="I22" s="28"/>
      <c r="J22" s="28"/>
      <c r="K22" s="28"/>
      <c r="L22" s="28"/>
      <c r="M22" s="28"/>
      <c r="N22" s="24"/>
      <c r="O22" s="28"/>
      <c r="P22" s="37"/>
      <c r="Q22" s="38"/>
    </row>
    <row r="23" spans="1:17" s="7" customFormat="1" x14ac:dyDescent="0.25">
      <c r="B23" s="3" t="s">
        <v>14</v>
      </c>
      <c r="C23" s="18"/>
      <c r="D23" s="12">
        <f t="shared" ref="D23:K23" si="2">SUM(D20:D22)</f>
        <v>25000</v>
      </c>
      <c r="E23" s="10">
        <f t="shared" si="2"/>
        <v>293750</v>
      </c>
      <c r="F23" s="10">
        <f t="shared" si="2"/>
        <v>46800</v>
      </c>
      <c r="G23" s="10">
        <f t="shared" si="2"/>
        <v>8306.3371914802392</v>
      </c>
      <c r="H23" s="10">
        <f t="shared" si="2"/>
        <v>100000</v>
      </c>
      <c r="I23" s="10">
        <f t="shared" si="2"/>
        <v>58753.979999999996</v>
      </c>
      <c r="J23" s="24">
        <f t="shared" si="2"/>
        <v>0</v>
      </c>
      <c r="K23" s="10">
        <f t="shared" si="2"/>
        <v>3866.88</v>
      </c>
      <c r="L23" s="10">
        <f>+L20+L21</f>
        <v>0</v>
      </c>
      <c r="M23" s="10">
        <f>SUM(M20:M22)</f>
        <v>511477.19719148031</v>
      </c>
      <c r="N23" s="10">
        <f>M23/CALC!$A$8*CALC!$A$6</f>
        <v>8293.5966084065421</v>
      </c>
      <c r="O23" s="10">
        <f>+M23+N23</f>
        <v>519770.79379988683</v>
      </c>
      <c r="P23" s="39"/>
      <c r="Q23" s="111">
        <f>(+O23/D23)*(1+CALC!$A$3)</f>
        <v>20.790831751995473</v>
      </c>
    </row>
    <row r="24" spans="1:17" s="7" customFormat="1" ht="11" thickBot="1" x14ac:dyDescent="0.3">
      <c r="C24" s="29"/>
      <c r="D24" s="30"/>
      <c r="E24" s="31"/>
      <c r="F24" s="31"/>
      <c r="G24" s="31"/>
      <c r="H24" s="31"/>
      <c r="I24" s="31"/>
      <c r="J24" s="17"/>
      <c r="K24" s="31"/>
      <c r="L24" s="31"/>
      <c r="M24" s="31"/>
      <c r="N24" s="31"/>
      <c r="O24" s="31"/>
      <c r="P24" s="17"/>
      <c r="Q24" s="40"/>
    </row>
    <row r="25" spans="1:17" ht="11" thickBot="1" x14ac:dyDescent="0.3">
      <c r="A25" s="284" t="s">
        <v>10</v>
      </c>
      <c r="B25" s="285" t="s">
        <v>432</v>
      </c>
      <c r="D25" s="541" t="s">
        <v>626</v>
      </c>
      <c r="E25" s="542"/>
      <c r="F25" s="543"/>
      <c r="Q25" s="16"/>
    </row>
    <row r="26" spans="1:17" x14ac:dyDescent="0.25">
      <c r="Q26" s="16"/>
    </row>
    <row r="27" spans="1:17" x14ac:dyDescent="0.25">
      <c r="A27" s="499" t="str">
        <f>+'1-10'!C74</f>
        <v>NISSAN  UD40  TIPPER [105]</v>
      </c>
      <c r="B27" s="483" t="str">
        <f>+'1-10'!R74</f>
        <v>CPR 551L</v>
      </c>
      <c r="C27" s="484">
        <v>673</v>
      </c>
      <c r="D27" s="6">
        <v>15000</v>
      </c>
      <c r="E27" s="520">
        <f>+D27/P27*(CALC!$A$4)</f>
        <v>160227.27272727274</v>
      </c>
      <c r="F27" s="28">
        <v>23400</v>
      </c>
      <c r="G27" s="28">
        <f>CALC!$A$23*(I27/CEM!I$148)</f>
        <v>4030.1851691494348</v>
      </c>
      <c r="H27" s="28">
        <v>50000</v>
      </c>
      <c r="I27" s="482">
        <v>28507.08</v>
      </c>
      <c r="J27" s="28"/>
      <c r="K27" s="528">
        <f>2460*1.06</f>
        <v>2607.6</v>
      </c>
      <c r="L27" s="28"/>
      <c r="M27" s="28">
        <f>SUM(E27:L27)</f>
        <v>268772.13789642212</v>
      </c>
      <c r="N27" s="24">
        <f>M27/CALC!$A$8*CALC!$A$6</f>
        <v>4358.1369874001339</v>
      </c>
      <c r="O27" s="28">
        <f>+M27+N27</f>
        <v>273130.27488382225</v>
      </c>
      <c r="P27" s="347">
        <v>2.2000000000000002</v>
      </c>
      <c r="Q27" s="38"/>
    </row>
    <row r="28" spans="1:17" x14ac:dyDescent="0.25">
      <c r="A28" s="36"/>
      <c r="B28" s="8"/>
      <c r="C28" s="14"/>
      <c r="D28" s="6"/>
      <c r="E28" s="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37"/>
      <c r="Q28" s="38"/>
    </row>
    <row r="29" spans="1:17" s="7" customFormat="1" x14ac:dyDescent="0.25">
      <c r="B29" s="3" t="s">
        <v>14</v>
      </c>
      <c r="C29" s="18"/>
      <c r="D29" s="12">
        <f t="shared" ref="D29:M29" si="3">SUM(D27:D28)</f>
        <v>15000</v>
      </c>
      <c r="E29" s="24">
        <f t="shared" si="3"/>
        <v>160227.27272727274</v>
      </c>
      <c r="F29" s="24">
        <f t="shared" si="3"/>
        <v>23400</v>
      </c>
      <c r="G29" s="24">
        <f t="shared" si="3"/>
        <v>4030.1851691494348</v>
      </c>
      <c r="H29" s="24">
        <f t="shared" si="3"/>
        <v>50000</v>
      </c>
      <c r="I29" s="24">
        <f t="shared" si="3"/>
        <v>28507.08</v>
      </c>
      <c r="J29" s="24">
        <f t="shared" si="3"/>
        <v>0</v>
      </c>
      <c r="K29" s="24">
        <f t="shared" si="3"/>
        <v>2607.6</v>
      </c>
      <c r="L29" s="24">
        <f>+L27</f>
        <v>0</v>
      </c>
      <c r="M29" s="24">
        <f t="shared" si="3"/>
        <v>268772.13789642212</v>
      </c>
      <c r="N29" s="24">
        <f>M29/CALC!$A$8*CALC!$A$6</f>
        <v>4358.1369874001339</v>
      </c>
      <c r="O29" s="24">
        <f>+M29+N29</f>
        <v>273130.27488382225</v>
      </c>
      <c r="P29" s="39"/>
      <c r="Q29" s="111">
        <f>(+O29/D29)*(1+CALC!$A$3)</f>
        <v>18.208684992254817</v>
      </c>
    </row>
    <row r="30" spans="1:17" s="7" customFormat="1" ht="11" thickBot="1" x14ac:dyDescent="0.3">
      <c r="C30" s="29"/>
      <c r="D30" s="30"/>
      <c r="E30" s="31"/>
      <c r="F30" s="31"/>
      <c r="G30" s="31"/>
      <c r="H30" s="31"/>
      <c r="I30" s="31"/>
      <c r="J30" s="17"/>
      <c r="K30" s="31"/>
      <c r="L30" s="31"/>
      <c r="M30" s="31"/>
      <c r="N30" s="31"/>
      <c r="O30" s="31"/>
      <c r="P30" s="17"/>
      <c r="Q30" s="40"/>
    </row>
    <row r="31" spans="1:17" ht="11" thickBot="1" x14ac:dyDescent="0.3">
      <c r="A31" s="284" t="s">
        <v>10</v>
      </c>
      <c r="B31" s="285" t="s">
        <v>105</v>
      </c>
      <c r="D31" s="541" t="s">
        <v>17</v>
      </c>
      <c r="E31" s="542"/>
      <c r="F31" s="543"/>
      <c r="Q31" s="16"/>
    </row>
    <row r="32" spans="1:17" x14ac:dyDescent="0.25">
      <c r="Q32" s="16"/>
    </row>
    <row r="33" spans="1:17" s="470" customFormat="1" x14ac:dyDescent="0.25">
      <c r="A33" s="463" t="s">
        <v>1476</v>
      </c>
      <c r="B33" s="463" t="s">
        <v>1475</v>
      </c>
      <c r="C33" s="334">
        <v>78</v>
      </c>
      <c r="D33" s="464">
        <v>600</v>
      </c>
      <c r="E33" s="527">
        <f>+D33/P33*(CALC!$A$4)</f>
        <v>54230.769230769227</v>
      </c>
      <c r="F33" s="466">
        <v>3000</v>
      </c>
      <c r="G33" s="28">
        <f>CALC!$A$23*(I33/CEM!I$148)</f>
        <v>0</v>
      </c>
      <c r="H33" s="466">
        <f>8330*(1+CALC!$A$2)</f>
        <v>6455.75</v>
      </c>
      <c r="I33" s="466"/>
      <c r="J33" s="466"/>
      <c r="K33" s="528">
        <f>258*1.06</f>
        <v>273.48</v>
      </c>
      <c r="L33" s="466"/>
      <c r="M33" s="466">
        <f t="shared" ref="M33:M39" si="4">SUM(E33:L33)</f>
        <v>63959.99923076923</v>
      </c>
      <c r="N33" s="467">
        <f>M33/CALC!$A$8*CALC!$A$6</f>
        <v>1037.1106192157506</v>
      </c>
      <c r="O33" s="466">
        <f t="shared" ref="O33:O39" si="5">+M33+N33</f>
        <v>64997.109849984983</v>
      </c>
      <c r="P33" s="468">
        <v>0.26</v>
      </c>
      <c r="Q33" s="469"/>
    </row>
    <row r="34" spans="1:17" s="470" customFormat="1" x14ac:dyDescent="0.25">
      <c r="A34" s="463" t="s">
        <v>1490</v>
      </c>
      <c r="B34" s="463" t="s">
        <v>27</v>
      </c>
      <c r="C34" s="334">
        <v>82</v>
      </c>
      <c r="D34" s="464">
        <v>100</v>
      </c>
      <c r="E34" s="527">
        <f>+D34/P34*(CALC!$A$4)</f>
        <v>7833.3333333333339</v>
      </c>
      <c r="F34" s="466">
        <v>3000</v>
      </c>
      <c r="G34" s="28">
        <f>CALC!$A$23*(I34/CEM!I$148)</f>
        <v>0</v>
      </c>
      <c r="H34" s="466">
        <f>13416*(1+CALC!$A$2)</f>
        <v>10397.4</v>
      </c>
      <c r="I34" s="466"/>
      <c r="J34" s="466"/>
      <c r="K34" s="528">
        <f>258*1.06</f>
        <v>273.48</v>
      </c>
      <c r="L34" s="466"/>
      <c r="M34" s="466">
        <f>SUM(E34:L34)</f>
        <v>21504.213333333333</v>
      </c>
      <c r="N34" s="467">
        <f>M34/CALC!$A$8*CALC!$A$6</f>
        <v>348.69056088343405</v>
      </c>
      <c r="O34" s="466">
        <f>+M34+N34</f>
        <v>21852.903894216768</v>
      </c>
      <c r="P34" s="468">
        <v>0.3</v>
      </c>
      <c r="Q34" s="469"/>
    </row>
    <row r="35" spans="1:17" s="470" customFormat="1" x14ac:dyDescent="0.25">
      <c r="A35" s="463" t="s">
        <v>1472</v>
      </c>
      <c r="B35" s="463" t="s">
        <v>1471</v>
      </c>
      <c r="C35" s="334">
        <v>83</v>
      </c>
      <c r="D35" s="464">
        <v>600</v>
      </c>
      <c r="E35" s="527">
        <f>+D35/P35*(CALC!$A$4)</f>
        <v>64090.909090909096</v>
      </c>
      <c r="F35" s="466">
        <v>3000</v>
      </c>
      <c r="G35" s="28">
        <f>CALC!$A$23*(I35/CEM!I$148)</f>
        <v>0</v>
      </c>
      <c r="H35" s="466">
        <f>6000*(1+CALC!$A$2)</f>
        <v>4650</v>
      </c>
      <c r="I35" s="466"/>
      <c r="J35" s="466"/>
      <c r="K35" s="528">
        <f>258*1.06</f>
        <v>273.48</v>
      </c>
      <c r="L35" s="466"/>
      <c r="M35" s="466">
        <f t="shared" si="4"/>
        <v>72014.389090909084</v>
      </c>
      <c r="N35" s="467">
        <f>M35/CALC!$A$8*CALC!$A$6</f>
        <v>1167.7124540456077</v>
      </c>
      <c r="O35" s="466">
        <f t="shared" si="5"/>
        <v>73182.101544954698</v>
      </c>
      <c r="P35" s="468">
        <v>0.22</v>
      </c>
      <c r="Q35" s="469"/>
    </row>
    <row r="36" spans="1:17" s="470" customFormat="1" x14ac:dyDescent="0.25">
      <c r="A36" s="463" t="s">
        <v>24</v>
      </c>
      <c r="B36" s="463" t="s">
        <v>28</v>
      </c>
      <c r="C36" s="334">
        <v>124</v>
      </c>
      <c r="D36" s="464">
        <v>100</v>
      </c>
      <c r="E36" s="471">
        <f>+D36/P36*(CALC!$A$4)</f>
        <v>6025.6410256410254</v>
      </c>
      <c r="F36" s="466">
        <v>3000</v>
      </c>
      <c r="G36" s="28">
        <f>CALC!$A$23*(I36/CEM!I$148)</f>
        <v>0</v>
      </c>
      <c r="H36" s="466">
        <f>6000*(1+CALC!$A$2)</f>
        <v>4650</v>
      </c>
      <c r="I36" s="466"/>
      <c r="J36" s="466"/>
      <c r="K36" s="466">
        <v>390</v>
      </c>
      <c r="L36" s="466"/>
      <c r="M36" s="466">
        <f t="shared" si="4"/>
        <v>14065.641025641025</v>
      </c>
      <c r="N36" s="467">
        <f>M36/CALC!$A$8*CALC!$A$6</f>
        <v>228.07420026908574</v>
      </c>
      <c r="O36" s="466">
        <f t="shared" si="5"/>
        <v>14293.715225910111</v>
      </c>
      <c r="P36" s="468">
        <v>0.39</v>
      </c>
      <c r="Q36" s="469"/>
    </row>
    <row r="37" spans="1:17" s="470" customFormat="1" x14ac:dyDescent="0.25">
      <c r="A37" s="463" t="s">
        <v>1473</v>
      </c>
      <c r="B37" s="463" t="s">
        <v>1474</v>
      </c>
      <c r="C37" s="334">
        <v>151</v>
      </c>
      <c r="D37" s="464">
        <v>200</v>
      </c>
      <c r="E37" s="527">
        <f>+D37/P37*(CALC!$A$4)</f>
        <v>15666.666666666668</v>
      </c>
      <c r="F37" s="466">
        <v>3000</v>
      </c>
      <c r="G37" s="28">
        <f>CALC!$A$23*(I37/CEM!I$148)</f>
        <v>0</v>
      </c>
      <c r="H37" s="466">
        <f>6000*(1+CALC!$A$2)</f>
        <v>4650</v>
      </c>
      <c r="I37" s="466"/>
      <c r="J37" s="466"/>
      <c r="K37" s="528">
        <f>258*1.1</f>
        <v>283.8</v>
      </c>
      <c r="L37" s="466"/>
      <c r="M37" s="466">
        <f t="shared" si="4"/>
        <v>23600.466666666667</v>
      </c>
      <c r="N37" s="467">
        <f>M37/CALC!$A$8*CALC!$A$6</f>
        <v>382.6812835024636</v>
      </c>
      <c r="O37" s="466">
        <f t="shared" si="5"/>
        <v>23983.147950169132</v>
      </c>
      <c r="P37" s="468">
        <v>0.3</v>
      </c>
      <c r="Q37" s="469"/>
    </row>
    <row r="38" spans="1:17" s="470" customFormat="1" x14ac:dyDescent="0.25">
      <c r="A38" s="463" t="s">
        <v>1478</v>
      </c>
      <c r="B38" s="463" t="s">
        <v>1477</v>
      </c>
      <c r="C38" s="334">
        <v>408</v>
      </c>
      <c r="D38" s="464">
        <v>200</v>
      </c>
      <c r="E38" s="527">
        <f>+D38/P38*(CALC!$A$4)</f>
        <v>15666.666666666668</v>
      </c>
      <c r="F38" s="466">
        <v>3000</v>
      </c>
      <c r="G38" s="28">
        <f>CALC!$A$23*(I38/CEM!I$148)</f>
        <v>0</v>
      </c>
      <c r="H38" s="466">
        <f>10000*(1+CALC!$A$2)</f>
        <v>7750</v>
      </c>
      <c r="I38" s="466"/>
      <c r="J38" s="466"/>
      <c r="K38" s="528">
        <f>258*1.1</f>
        <v>283.8</v>
      </c>
      <c r="L38" s="466"/>
      <c r="M38" s="466">
        <f t="shared" si="4"/>
        <v>26700.466666666667</v>
      </c>
      <c r="N38" s="467">
        <f>M38/CALC!$A$8*CALC!$A$6</f>
        <v>432.94774626411674</v>
      </c>
      <c r="O38" s="466">
        <f t="shared" si="5"/>
        <v>27133.414412930782</v>
      </c>
      <c r="P38" s="468">
        <v>0.3</v>
      </c>
      <c r="Q38" s="469"/>
    </row>
    <row r="39" spans="1:17" x14ac:dyDescent="0.25">
      <c r="A39" s="36"/>
      <c r="B39" s="8"/>
      <c r="C39" s="14"/>
      <c r="D39" s="6"/>
      <c r="E39" s="9"/>
      <c r="F39" s="9"/>
      <c r="G39" s="9"/>
      <c r="H39" s="9"/>
      <c r="I39" s="9"/>
      <c r="J39" s="28"/>
      <c r="K39" s="9"/>
      <c r="L39" s="9"/>
      <c r="M39" s="9">
        <f t="shared" si="4"/>
        <v>0</v>
      </c>
      <c r="N39" s="9"/>
      <c r="O39" s="9">
        <f t="shared" si="5"/>
        <v>0</v>
      </c>
      <c r="P39" s="23"/>
      <c r="Q39" s="16"/>
    </row>
    <row r="40" spans="1:17" s="7" customFormat="1" x14ac:dyDescent="0.25">
      <c r="B40" s="3" t="s">
        <v>14</v>
      </c>
      <c r="C40" s="18"/>
      <c r="D40" s="12">
        <f t="shared" ref="D40:M40" si="6">SUM(D33:D39)</f>
        <v>1800</v>
      </c>
      <c r="E40" s="10">
        <f t="shared" si="6"/>
        <v>163513.986013986</v>
      </c>
      <c r="F40" s="10">
        <f t="shared" si="6"/>
        <v>18000</v>
      </c>
      <c r="G40" s="10">
        <f t="shared" si="6"/>
        <v>0</v>
      </c>
      <c r="H40" s="10">
        <f t="shared" si="6"/>
        <v>38553.15</v>
      </c>
      <c r="I40" s="10">
        <f t="shared" si="6"/>
        <v>0</v>
      </c>
      <c r="J40" s="24">
        <f t="shared" si="6"/>
        <v>0</v>
      </c>
      <c r="K40" s="10">
        <f t="shared" si="6"/>
        <v>1778.04</v>
      </c>
      <c r="L40" s="10"/>
      <c r="M40" s="10">
        <f t="shared" si="6"/>
        <v>221845.17601398603</v>
      </c>
      <c r="N40" s="10">
        <f>M40/CALC!$A$8*CALC!$A$6</f>
        <v>3597.2168641804587</v>
      </c>
      <c r="O40" s="10">
        <f>+M40+N40</f>
        <v>225442.39287816649</v>
      </c>
      <c r="P40" s="25"/>
      <c r="Q40" s="111">
        <f>(+O40/D40)*(1+CALC!$A$3)</f>
        <v>125.2457738212036</v>
      </c>
    </row>
    <row r="41" spans="1:17" ht="11" thickBot="1" x14ac:dyDescent="0.3">
      <c r="Q41" s="16"/>
    </row>
    <row r="42" spans="1:17" ht="11" thickBot="1" x14ac:dyDescent="0.3">
      <c r="A42" s="284" t="s">
        <v>10</v>
      </c>
      <c r="B42" s="285" t="s">
        <v>106</v>
      </c>
      <c r="D42" s="541" t="s">
        <v>15</v>
      </c>
      <c r="E42" s="542"/>
      <c r="F42" s="543"/>
      <c r="Q42" s="16"/>
    </row>
    <row r="43" spans="1:17" x14ac:dyDescent="0.25">
      <c r="Q43" s="16"/>
    </row>
    <row r="44" spans="1:17" s="470" customFormat="1" x14ac:dyDescent="0.25">
      <c r="A44" s="463" t="s">
        <v>1532</v>
      </c>
      <c r="B44" s="463" t="s">
        <v>1531</v>
      </c>
      <c r="C44" s="334">
        <v>94</v>
      </c>
      <c r="D44" s="464"/>
      <c r="E44" s="471"/>
      <c r="F44" s="466"/>
      <c r="G44" s="28">
        <f>CALC!$A$23*(I44/CEM!I$148)</f>
        <v>0</v>
      </c>
      <c r="H44" s="466">
        <f>5000*(1+CALC!$A$2)</f>
        <v>3875</v>
      </c>
      <c r="I44" s="466"/>
      <c r="J44" s="466"/>
      <c r="K44" s="528">
        <v>468</v>
      </c>
      <c r="L44" s="466"/>
      <c r="M44" s="466">
        <f>SUM(E44:L44)</f>
        <v>4343</v>
      </c>
      <c r="N44" s="467">
        <f>M44/CALC!$A$8*CALC!$A$6</f>
        <v>70.421692830277323</v>
      </c>
      <c r="O44" s="466">
        <f t="shared" ref="O44:O49" si="7">+M44+N44</f>
        <v>4413.4216928302776</v>
      </c>
      <c r="P44" s="472"/>
      <c r="Q44" s="469"/>
    </row>
    <row r="45" spans="1:17" s="470" customFormat="1" x14ac:dyDescent="0.25">
      <c r="A45" s="463" t="s">
        <v>1552</v>
      </c>
      <c r="B45" s="463" t="s">
        <v>1481</v>
      </c>
      <c r="C45" s="334">
        <v>97</v>
      </c>
      <c r="D45" s="464"/>
      <c r="E45" s="471"/>
      <c r="F45" s="466"/>
      <c r="G45" s="28">
        <f>CALC!$A$23*(I45/CEM!I$148)</f>
        <v>0</v>
      </c>
      <c r="H45" s="466">
        <f>5000*(1+CALC!$A$2)</f>
        <v>3875</v>
      </c>
      <c r="I45" s="466"/>
      <c r="J45" s="466"/>
      <c r="K45" s="528">
        <f>354*1.06</f>
        <v>375.24</v>
      </c>
      <c r="L45" s="466"/>
      <c r="M45" s="466">
        <f>SUM(E45:L45)</f>
        <v>4250.24</v>
      </c>
      <c r="N45" s="467">
        <f>M45/CALC!$A$8*CALC!$A$6</f>
        <v>68.917590544544765</v>
      </c>
      <c r="O45" s="466">
        <f t="shared" si="7"/>
        <v>4319.1575905445443</v>
      </c>
      <c r="P45" s="472"/>
      <c r="Q45" s="469"/>
    </row>
    <row r="46" spans="1:17" s="470" customFormat="1" x14ac:dyDescent="0.25">
      <c r="A46" s="463" t="s">
        <v>1549</v>
      </c>
      <c r="B46" s="463" t="s">
        <v>1548</v>
      </c>
      <c r="C46" s="334">
        <v>98</v>
      </c>
      <c r="D46" s="464"/>
      <c r="E46" s="471"/>
      <c r="F46" s="466"/>
      <c r="G46" s="28">
        <f>CALC!$A$23*(I46/CEM!I$148)</f>
        <v>0</v>
      </c>
      <c r="H46" s="466">
        <f>5000*(1+CALC!$A$2)</f>
        <v>3875</v>
      </c>
      <c r="I46" s="466"/>
      <c r="J46" s="466"/>
      <c r="K46" s="528">
        <v>468</v>
      </c>
      <c r="L46" s="466"/>
      <c r="M46" s="466">
        <f>SUM(E46:L46)</f>
        <v>4343</v>
      </c>
      <c r="N46" s="467">
        <f>M46/CALC!$A$8*CALC!$A$6</f>
        <v>70.421692830277323</v>
      </c>
      <c r="O46" s="466">
        <f t="shared" si="7"/>
        <v>4413.4216928302776</v>
      </c>
      <c r="P46" s="472"/>
      <c r="Q46" s="469"/>
    </row>
    <row r="47" spans="1:17" s="470" customFormat="1" x14ac:dyDescent="0.25">
      <c r="A47" s="463" t="s">
        <v>1515</v>
      </c>
      <c r="B47" s="463" t="s">
        <v>1516</v>
      </c>
      <c r="C47" s="334">
        <v>405</v>
      </c>
      <c r="D47" s="464"/>
      <c r="E47" s="471"/>
      <c r="F47" s="466"/>
      <c r="G47" s="28">
        <f>CALC!$A$23*(I47/CEM!I$148)</f>
        <v>0</v>
      </c>
      <c r="H47" s="466">
        <f>5000*(1+CALC!$A$2)</f>
        <v>3875</v>
      </c>
      <c r="I47" s="466">
        <v>0</v>
      </c>
      <c r="J47" s="466"/>
      <c r="K47" s="528">
        <v>468</v>
      </c>
      <c r="L47" s="466"/>
      <c r="M47" s="466">
        <f>SUM(E47:L47)</f>
        <v>4343</v>
      </c>
      <c r="N47" s="467">
        <f>M47/CALC!$A$8*CALC!$A$6</f>
        <v>70.421692830277323</v>
      </c>
      <c r="O47" s="466">
        <f t="shared" si="7"/>
        <v>4413.4216928302776</v>
      </c>
      <c r="P47" s="472"/>
      <c r="Q47" s="469"/>
    </row>
    <row r="48" spans="1:17" x14ac:dyDescent="0.25">
      <c r="A48" s="8"/>
      <c r="B48" s="8"/>
      <c r="C48" s="14"/>
      <c r="D48" s="6"/>
      <c r="E48" s="22"/>
      <c r="F48" s="9"/>
      <c r="G48" s="9"/>
      <c r="H48" s="9"/>
      <c r="I48" s="9"/>
      <c r="J48" s="28"/>
      <c r="K48" s="9"/>
      <c r="L48" s="9"/>
      <c r="M48" s="9">
        <f>SUM(E48:L48)</f>
        <v>0</v>
      </c>
      <c r="N48" s="9"/>
      <c r="O48" s="9">
        <f t="shared" si="7"/>
        <v>0</v>
      </c>
      <c r="P48" s="15"/>
      <c r="Q48" s="16"/>
    </row>
    <row r="49" spans="1:17" s="7" customFormat="1" x14ac:dyDescent="0.25">
      <c r="B49" s="3" t="s">
        <v>14</v>
      </c>
      <c r="C49" s="18"/>
      <c r="D49" s="12">
        <v>0</v>
      </c>
      <c r="E49" s="10">
        <f t="shared" ref="E49:K49" si="8">SUM(E44:E48)</f>
        <v>0</v>
      </c>
      <c r="F49" s="10">
        <f t="shared" si="8"/>
        <v>0</v>
      </c>
      <c r="G49" s="10">
        <f t="shared" si="8"/>
        <v>0</v>
      </c>
      <c r="H49" s="10">
        <f t="shared" si="8"/>
        <v>15500</v>
      </c>
      <c r="I49" s="10">
        <f t="shared" si="8"/>
        <v>0</v>
      </c>
      <c r="J49" s="24">
        <f t="shared" si="8"/>
        <v>0</v>
      </c>
      <c r="K49" s="10">
        <f t="shared" si="8"/>
        <v>1779.24</v>
      </c>
      <c r="L49" s="10"/>
      <c r="M49" s="10">
        <f>SUM(M44:M48)</f>
        <v>17279.239999999998</v>
      </c>
      <c r="N49" s="10">
        <f>M49/CALC!$A$8*CALC!$A$6</f>
        <v>280.18266903537676</v>
      </c>
      <c r="O49" s="10">
        <f t="shared" si="7"/>
        <v>17559.422669035375</v>
      </c>
      <c r="P49" s="31"/>
      <c r="Q49" s="27"/>
    </row>
    <row r="50" spans="1:17" s="7" customFormat="1" x14ac:dyDescent="0.25">
      <c r="C50" s="29"/>
      <c r="D50" s="30"/>
      <c r="E50" s="31"/>
      <c r="F50" s="31"/>
      <c r="G50" s="31"/>
      <c r="H50" s="31"/>
      <c r="I50" s="31"/>
      <c r="J50" s="17"/>
      <c r="K50" s="31"/>
      <c r="L50" s="31"/>
      <c r="M50" s="31"/>
      <c r="N50" s="31"/>
      <c r="O50" s="31"/>
      <c r="P50" s="31"/>
      <c r="Q50" s="27"/>
    </row>
    <row r="51" spans="1:17" s="7" customFormat="1" x14ac:dyDescent="0.25">
      <c r="A51" s="32" t="s">
        <v>41</v>
      </c>
      <c r="B51" s="51" t="s">
        <v>14</v>
      </c>
      <c r="C51" s="52"/>
      <c r="D51" s="53">
        <f>+D9+D16+D23+D29+D40+D49</f>
        <v>96800</v>
      </c>
      <c r="E51" s="55">
        <f>+E9+E16+E23+E29+E40+E49</f>
        <v>805456.02635745052</v>
      </c>
      <c r="F51" s="55">
        <f>+F9+F16+F23+F29+F40+F49</f>
        <v>158400</v>
      </c>
      <c r="G51" s="55">
        <f t="shared" ref="G51:O51" si="9">+G9+G16+G23+G29+G40+G49</f>
        <v>20709.294438274566</v>
      </c>
      <c r="H51" s="55">
        <f t="shared" si="9"/>
        <v>309053.15000000002</v>
      </c>
      <c r="I51" s="55">
        <f t="shared" si="9"/>
        <v>146484.96</v>
      </c>
      <c r="J51" s="55">
        <f t="shared" si="9"/>
        <v>0</v>
      </c>
      <c r="K51" s="55">
        <f t="shared" si="9"/>
        <v>13103.640000000001</v>
      </c>
      <c r="L51" s="55">
        <f t="shared" si="9"/>
        <v>0</v>
      </c>
      <c r="M51" s="55">
        <f t="shared" si="9"/>
        <v>1453207.0707957253</v>
      </c>
      <c r="N51" s="55">
        <f>+N9+N16+N23+N29+N40+N49</f>
        <v>21374.355152593223</v>
      </c>
      <c r="O51" s="55">
        <f t="shared" si="9"/>
        <v>1474581.4259483183</v>
      </c>
      <c r="P51" s="346"/>
      <c r="Q51" s="40"/>
    </row>
    <row r="52" spans="1:17" s="7" customFormat="1" ht="11" thickBot="1" x14ac:dyDescent="0.3">
      <c r="A52" s="116"/>
      <c r="B52" s="117"/>
      <c r="C52" s="118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1"/>
    </row>
    <row r="53" spans="1:17" ht="11.5" thickTop="1" thickBot="1" x14ac:dyDescent="0.3">
      <c r="Q53" s="16"/>
    </row>
    <row r="54" spans="1:17" ht="11" thickBot="1" x14ac:dyDescent="0.3">
      <c r="A54" s="284" t="s">
        <v>10</v>
      </c>
      <c r="B54" s="285" t="s">
        <v>107</v>
      </c>
      <c r="D54" s="541" t="s">
        <v>15</v>
      </c>
      <c r="E54" s="542"/>
      <c r="F54" s="543"/>
      <c r="Q54" s="16"/>
    </row>
    <row r="55" spans="1:17" x14ac:dyDescent="0.25">
      <c r="Q55" s="16"/>
    </row>
    <row r="56" spans="1:17" x14ac:dyDescent="0.25">
      <c r="A56" s="8"/>
      <c r="B56" s="8"/>
      <c r="C56" s="14"/>
      <c r="D56" s="6"/>
      <c r="E56" s="22"/>
      <c r="F56" s="9"/>
      <c r="G56" s="9"/>
      <c r="H56" s="9"/>
      <c r="I56" s="9"/>
      <c r="J56" s="28"/>
      <c r="K56" s="9"/>
      <c r="L56" s="9"/>
      <c r="M56" s="9"/>
      <c r="N56" s="10"/>
      <c r="O56" s="9"/>
      <c r="P56" s="23"/>
      <c r="Q56" s="16"/>
    </row>
    <row r="57" spans="1:17" s="470" customFormat="1" x14ac:dyDescent="0.25">
      <c r="A57" s="463" t="s">
        <v>1530</v>
      </c>
      <c r="B57" s="463" t="s">
        <v>1529</v>
      </c>
      <c r="C57" s="334">
        <v>17</v>
      </c>
      <c r="D57" s="464"/>
      <c r="E57" s="471"/>
      <c r="F57" s="466"/>
      <c r="G57" s="28">
        <f>CALC!$A$23*(I57/CEM!I$148)</f>
        <v>0</v>
      </c>
      <c r="H57" s="466">
        <f>5000*(1+CALC!$A$2)</f>
        <v>3875</v>
      </c>
      <c r="I57" s="466"/>
      <c r="J57" s="466"/>
      <c r="K57" s="528">
        <v>468</v>
      </c>
      <c r="L57" s="466"/>
      <c r="M57" s="466">
        <f>SUM(E57:L57)</f>
        <v>4343</v>
      </c>
      <c r="N57" s="467">
        <f>M57/CALC!$A$8*CALC!$A$6</f>
        <v>70.421692830277323</v>
      </c>
      <c r="O57" s="466">
        <f t="shared" ref="O57:O59" si="10">+M57+N57</f>
        <v>4413.4216928302776</v>
      </c>
      <c r="P57" s="468"/>
      <c r="Q57" s="469"/>
    </row>
    <row r="58" spans="1:17" x14ac:dyDescent="0.25">
      <c r="A58" s="538" t="s">
        <v>1492</v>
      </c>
      <c r="B58" s="537" t="s">
        <v>1493</v>
      </c>
      <c r="C58" s="14"/>
      <c r="D58" s="6"/>
      <c r="E58" s="9"/>
      <c r="F58" s="9"/>
      <c r="G58" s="9"/>
      <c r="H58" s="9">
        <v>25000</v>
      </c>
      <c r="I58" s="9"/>
      <c r="J58" s="28"/>
      <c r="K58" s="528">
        <f>8358*1.06</f>
        <v>8859.48</v>
      </c>
      <c r="L58" s="9"/>
      <c r="M58" s="9">
        <f>SUM(E58:L58)</f>
        <v>33859.479999999996</v>
      </c>
      <c r="N58" s="9"/>
      <c r="O58" s="9">
        <f t="shared" si="10"/>
        <v>33859.479999999996</v>
      </c>
      <c r="P58" s="23"/>
      <c r="Q58" s="16"/>
    </row>
    <row r="59" spans="1:17" s="7" customFormat="1" x14ac:dyDescent="0.25">
      <c r="B59" s="3" t="s">
        <v>14</v>
      </c>
      <c r="C59" s="18"/>
      <c r="D59" s="12">
        <f t="shared" ref="D59:K59" si="11">SUM(D56:D58)</f>
        <v>0</v>
      </c>
      <c r="E59" s="10">
        <f t="shared" si="11"/>
        <v>0</v>
      </c>
      <c r="F59" s="10">
        <f t="shared" si="11"/>
        <v>0</v>
      </c>
      <c r="G59" s="10">
        <f t="shared" si="11"/>
        <v>0</v>
      </c>
      <c r="H59" s="10">
        <f t="shared" si="11"/>
        <v>28875</v>
      </c>
      <c r="I59" s="10">
        <f t="shared" si="11"/>
        <v>0</v>
      </c>
      <c r="J59" s="24">
        <f t="shared" si="11"/>
        <v>0</v>
      </c>
      <c r="K59" s="10">
        <f t="shared" si="11"/>
        <v>9327.48</v>
      </c>
      <c r="L59" s="10"/>
      <c r="M59" s="10">
        <f>SUM(M56:M58)</f>
        <v>38202.479999999996</v>
      </c>
      <c r="N59" s="10">
        <f>M59/CALC!$A$8*CALC!$A$6</f>
        <v>619.45275429767742</v>
      </c>
      <c r="O59" s="10">
        <f t="shared" si="10"/>
        <v>38821.932754297675</v>
      </c>
      <c r="P59" s="25"/>
      <c r="Q59" s="27"/>
    </row>
    <row r="60" spans="1:17" x14ac:dyDescent="0.25">
      <c r="Q60" s="16"/>
    </row>
    <row r="61" spans="1:17" x14ac:dyDescent="0.25">
      <c r="A61" s="32" t="s">
        <v>239</v>
      </c>
      <c r="B61" s="51" t="s">
        <v>14</v>
      </c>
      <c r="C61" s="52"/>
      <c r="D61" s="53">
        <f>+D59</f>
        <v>0</v>
      </c>
      <c r="E61" s="54">
        <f>+E59</f>
        <v>0</v>
      </c>
      <c r="F61" s="54">
        <f t="shared" ref="F61:M61" si="12">+F59</f>
        <v>0</v>
      </c>
      <c r="G61" s="54">
        <f t="shared" si="12"/>
        <v>0</v>
      </c>
      <c r="H61" s="54">
        <f t="shared" si="12"/>
        <v>28875</v>
      </c>
      <c r="I61" s="54">
        <f t="shared" si="12"/>
        <v>0</v>
      </c>
      <c r="J61" s="54">
        <f t="shared" si="12"/>
        <v>0</v>
      </c>
      <c r="K61" s="54">
        <f t="shared" si="12"/>
        <v>9327.48</v>
      </c>
      <c r="L61" s="54">
        <f t="shared" si="12"/>
        <v>0</v>
      </c>
      <c r="M61" s="54">
        <f t="shared" si="12"/>
        <v>38202.479999999996</v>
      </c>
      <c r="N61" s="54">
        <f>+N59</f>
        <v>619.45275429767742</v>
      </c>
      <c r="O61" s="54">
        <f>+O59</f>
        <v>38821.932754297675</v>
      </c>
      <c r="P61" s="17"/>
      <c r="Q61" s="40"/>
    </row>
    <row r="62" spans="1:17" ht="11" thickBot="1" x14ac:dyDescent="0.3">
      <c r="A62" s="116"/>
      <c r="B62" s="117"/>
      <c r="C62" s="118"/>
      <c r="D62" s="119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1"/>
    </row>
    <row r="63" spans="1:17" ht="11.5" thickTop="1" thickBot="1" x14ac:dyDescent="0.3">
      <c r="Q63" s="16"/>
    </row>
    <row r="64" spans="1:17" ht="11" thickBot="1" x14ac:dyDescent="0.3">
      <c r="A64" s="284" t="s">
        <v>10</v>
      </c>
      <c r="B64" s="285" t="s">
        <v>108</v>
      </c>
      <c r="D64" s="541" t="s">
        <v>102</v>
      </c>
      <c r="E64" s="542"/>
      <c r="F64" s="543"/>
      <c r="Q64" s="16"/>
    </row>
    <row r="65" spans="1:17" x14ac:dyDescent="0.25">
      <c r="Q65" s="16"/>
    </row>
    <row r="66" spans="1:17" x14ac:dyDescent="0.25">
      <c r="A66" s="483" t="s">
        <v>89</v>
      </c>
      <c r="B66" s="483" t="s">
        <v>95</v>
      </c>
      <c r="C66" s="484">
        <v>411</v>
      </c>
      <c r="D66" s="6">
        <v>30000</v>
      </c>
      <c r="E66" s="520">
        <f>+D66/P66*(CALC!$A$4)</f>
        <v>155973.45132743364</v>
      </c>
      <c r="F66" s="9">
        <v>23400</v>
      </c>
      <c r="G66" s="28">
        <f>CALC!$A$23*(I66/CEM!I$148)</f>
        <v>0</v>
      </c>
      <c r="H66" s="9">
        <v>60000</v>
      </c>
      <c r="I66" s="9">
        <f>0</f>
        <v>0</v>
      </c>
      <c r="J66" s="28"/>
      <c r="K66" s="528">
        <f>16680*1.06</f>
        <v>17680.8</v>
      </c>
      <c r="L66" s="9"/>
      <c r="M66" s="9">
        <f t="shared" ref="M66:M73" si="13">SUM(E66:L66)</f>
        <v>257054.25132743362</v>
      </c>
      <c r="N66" s="9">
        <f>M66/CALC!$A$8*CALC!$A$6</f>
        <v>4168.1315974435738</v>
      </c>
      <c r="O66" s="9">
        <f t="shared" ref="O66:O73" si="14">+M66+N66</f>
        <v>261222.38292487719</v>
      </c>
      <c r="P66" s="23">
        <v>4.5199999999999996</v>
      </c>
      <c r="Q66" s="80"/>
    </row>
    <row r="67" spans="1:17" x14ac:dyDescent="0.25">
      <c r="A67" s="483" t="s">
        <v>89</v>
      </c>
      <c r="B67" s="483" t="s">
        <v>96</v>
      </c>
      <c r="C67" s="484">
        <v>412</v>
      </c>
      <c r="D67" s="6">
        <v>40000</v>
      </c>
      <c r="E67" s="520">
        <f>+D67/P67*(CALC!$A$4)</f>
        <v>207964.6017699115</v>
      </c>
      <c r="F67" s="9">
        <v>23400</v>
      </c>
      <c r="G67" s="28">
        <f>CALC!$A$23*(I67/CEM!I$148)</f>
        <v>1679.7372188291072</v>
      </c>
      <c r="H67" s="9">
        <v>60000</v>
      </c>
      <c r="I67" s="9">
        <f>11881.44</f>
        <v>11881.44</v>
      </c>
      <c r="J67" s="28"/>
      <c r="K67" s="528">
        <f t="shared" ref="K67:K72" si="15">16680*1.06</f>
        <v>17680.8</v>
      </c>
      <c r="L67" s="9"/>
      <c r="M67" s="9">
        <f t="shared" si="13"/>
        <v>322606.57898874057</v>
      </c>
      <c r="N67" s="9">
        <f>M67/CALC!$A$8*CALC!$A$6</f>
        <v>5231.0618030328551</v>
      </c>
      <c r="O67" s="9">
        <f t="shared" si="14"/>
        <v>327837.64079177345</v>
      </c>
      <c r="P67" s="23">
        <v>4.5199999999999996</v>
      </c>
      <c r="Q67" s="80"/>
    </row>
    <row r="68" spans="1:17" x14ac:dyDescent="0.25">
      <c r="A68" s="483" t="s">
        <v>89</v>
      </c>
      <c r="B68" s="483" t="s">
        <v>97</v>
      </c>
      <c r="C68" s="484">
        <v>413</v>
      </c>
      <c r="D68" s="6">
        <v>80000</v>
      </c>
      <c r="E68" s="520">
        <f>+D68/P68*(CALC!$A$4)</f>
        <v>415929.20353982301</v>
      </c>
      <c r="F68" s="9">
        <v>23400</v>
      </c>
      <c r="G68" s="28">
        <f>CALC!$A$23*(I68/CEM!I$148)</f>
        <v>0</v>
      </c>
      <c r="H68" s="9">
        <v>60000</v>
      </c>
      <c r="I68" s="9">
        <f>0</f>
        <v>0</v>
      </c>
      <c r="J68" s="28"/>
      <c r="K68" s="528">
        <f t="shared" si="15"/>
        <v>17680.8</v>
      </c>
      <c r="L68" s="9"/>
      <c r="M68" s="9">
        <f t="shared" si="13"/>
        <v>517010.003539823</v>
      </c>
      <c r="N68" s="9">
        <f>M68/CALC!$A$8*CALC!$A$6</f>
        <v>8383.310996882803</v>
      </c>
      <c r="O68" s="9">
        <f t="shared" si="14"/>
        <v>525393.31453670585</v>
      </c>
      <c r="P68" s="23">
        <v>4.5199999999999996</v>
      </c>
      <c r="Q68" s="80"/>
    </row>
    <row r="69" spans="1:17" x14ac:dyDescent="0.25">
      <c r="A69" s="483" t="s">
        <v>89</v>
      </c>
      <c r="B69" s="483" t="s">
        <v>98</v>
      </c>
      <c r="C69" s="484">
        <v>414</v>
      </c>
      <c r="D69" s="6">
        <v>60000</v>
      </c>
      <c r="E69" s="520">
        <f>+D69/P69*(CALC!$A$4)</f>
        <v>311946.90265486727</v>
      </c>
      <c r="F69" s="9">
        <v>23400</v>
      </c>
      <c r="G69" s="28">
        <f>CALC!$A$23*(I69/CEM!I$148)</f>
        <v>2884.4845113151237</v>
      </c>
      <c r="H69" s="9">
        <v>60000</v>
      </c>
      <c r="I69" s="9">
        <v>20403.09</v>
      </c>
      <c r="J69" s="28"/>
      <c r="K69" s="528">
        <f t="shared" si="15"/>
        <v>17680.8</v>
      </c>
      <c r="L69" s="9"/>
      <c r="M69" s="9">
        <f t="shared" si="13"/>
        <v>436315.27716618241</v>
      </c>
      <c r="N69" s="9">
        <f>M69/CALC!$A$8*CALC!$A$6</f>
        <v>7074.8469780691266</v>
      </c>
      <c r="O69" s="9">
        <f t="shared" si="14"/>
        <v>443390.12414425152</v>
      </c>
      <c r="P69" s="23">
        <v>4.5199999999999996</v>
      </c>
      <c r="Q69" s="80"/>
    </row>
    <row r="70" spans="1:17" ht="12.5" x14ac:dyDescent="0.25">
      <c r="A70" s="483" t="s">
        <v>89</v>
      </c>
      <c r="B70" s="548" t="s">
        <v>1571</v>
      </c>
      <c r="C70" s="484"/>
      <c r="D70" s="6">
        <v>60000</v>
      </c>
      <c r="E70" s="520">
        <v>350000</v>
      </c>
      <c r="F70" s="9">
        <v>23400</v>
      </c>
      <c r="G70" s="28"/>
      <c r="H70" s="9">
        <v>60000</v>
      </c>
      <c r="I70" s="9"/>
      <c r="J70" s="28"/>
      <c r="K70" s="528">
        <f t="shared" si="15"/>
        <v>17680.8</v>
      </c>
      <c r="L70" s="9"/>
      <c r="M70" s="9"/>
      <c r="N70" s="9"/>
      <c r="O70" s="9"/>
      <c r="P70" s="23"/>
      <c r="Q70" s="80"/>
    </row>
    <row r="71" spans="1:17" ht="12.5" x14ac:dyDescent="0.25">
      <c r="A71" s="483" t="s">
        <v>89</v>
      </c>
      <c r="B71" s="548" t="s">
        <v>1572</v>
      </c>
      <c r="C71" s="484"/>
      <c r="D71" s="6">
        <v>60000</v>
      </c>
      <c r="E71" s="520">
        <v>350000</v>
      </c>
      <c r="F71" s="9">
        <v>23400</v>
      </c>
      <c r="G71" s="28"/>
      <c r="H71" s="9">
        <v>60000</v>
      </c>
      <c r="I71" s="9"/>
      <c r="J71" s="28"/>
      <c r="K71" s="528">
        <f t="shared" si="15"/>
        <v>17680.8</v>
      </c>
      <c r="L71" s="9"/>
      <c r="M71" s="9"/>
      <c r="N71" s="9"/>
      <c r="O71" s="9"/>
      <c r="P71" s="23"/>
      <c r="Q71" s="80"/>
    </row>
    <row r="72" spans="1:17" x14ac:dyDescent="0.25">
      <c r="A72" s="483" t="s">
        <v>89</v>
      </c>
      <c r="B72" s="483" t="s">
        <v>99</v>
      </c>
      <c r="C72" s="484">
        <v>415</v>
      </c>
      <c r="D72" s="6">
        <v>40000</v>
      </c>
      <c r="E72" s="520">
        <f>+D72/P72*(CALC!$A$4)</f>
        <v>207964.6017699115</v>
      </c>
      <c r="F72" s="9">
        <v>23400</v>
      </c>
      <c r="G72" s="28">
        <f>CALC!$A$23*(I72/CEM!I$148)</f>
        <v>2884.4845113151237</v>
      </c>
      <c r="H72" s="9">
        <v>60000</v>
      </c>
      <c r="I72" s="9">
        <v>20403.09</v>
      </c>
      <c r="J72" s="28"/>
      <c r="K72" s="528">
        <f t="shared" si="15"/>
        <v>17680.8</v>
      </c>
      <c r="L72" s="9"/>
      <c r="M72" s="9">
        <f t="shared" si="13"/>
        <v>332332.97628122661</v>
      </c>
      <c r="N72" s="9">
        <f>M72/CALC!$A$8*CALC!$A$6</f>
        <v>5388.7752182934337</v>
      </c>
      <c r="O72" s="9">
        <f t="shared" si="14"/>
        <v>337721.75149952003</v>
      </c>
      <c r="P72" s="23">
        <v>4.5199999999999996</v>
      </c>
      <c r="Q72" s="80"/>
    </row>
    <row r="73" spans="1:17" x14ac:dyDescent="0.25">
      <c r="A73" s="483" t="s">
        <v>89</v>
      </c>
      <c r="B73" s="483" t="s">
        <v>100</v>
      </c>
      <c r="C73" s="484">
        <v>416</v>
      </c>
      <c r="D73" s="6">
        <v>20000</v>
      </c>
      <c r="E73" s="22">
        <f>+D73/P73*(CALC!$A$4)</f>
        <v>103982.30088495575</v>
      </c>
      <c r="F73" s="9">
        <v>23400</v>
      </c>
      <c r="G73" s="28">
        <f>CALC!$A$23*(I73/CEM!I$148)</f>
        <v>2884.4845113151237</v>
      </c>
      <c r="H73" s="9">
        <v>60000</v>
      </c>
      <c r="I73" s="9">
        <v>20403.09</v>
      </c>
      <c r="J73" s="28"/>
      <c r="K73" s="528">
        <v>17160</v>
      </c>
      <c r="L73" s="9"/>
      <c r="M73" s="9">
        <f t="shared" si="13"/>
        <v>227829.87539627086</v>
      </c>
      <c r="N73" s="9">
        <f>M73/CALC!$A$8*CALC!$A$6</f>
        <v>3694.2586927737848</v>
      </c>
      <c r="O73" s="9">
        <f t="shared" si="14"/>
        <v>231524.13408904464</v>
      </c>
      <c r="P73" s="23">
        <v>4.5199999999999996</v>
      </c>
      <c r="Q73" s="80"/>
    </row>
    <row r="74" spans="1:17" s="470" customFormat="1" x14ac:dyDescent="0.25">
      <c r="A74" s="483" t="s">
        <v>103</v>
      </c>
      <c r="B74" s="483" t="s">
        <v>150</v>
      </c>
      <c r="C74" s="484">
        <v>418</v>
      </c>
      <c r="D74" s="485">
        <v>40000</v>
      </c>
      <c r="E74" s="520">
        <f>+D74/P74*(CALC!$A$4)</f>
        <v>263305.32212885155</v>
      </c>
      <c r="F74" s="9">
        <v>23400</v>
      </c>
      <c r="G74" s="28">
        <f>CALC!$A$23*(I74/CEM!I$148)</f>
        <v>15524.376169860237</v>
      </c>
      <c r="H74" s="9">
        <v>60000</v>
      </c>
      <c r="I74" s="466">
        <f>878480/8</f>
        <v>109810</v>
      </c>
      <c r="J74" s="466"/>
      <c r="K74" s="528">
        <f>9492*1.06</f>
        <v>10061.52</v>
      </c>
      <c r="L74" s="466"/>
      <c r="M74" s="466">
        <f>SUM(E74:L74)</f>
        <v>482101.21829871181</v>
      </c>
      <c r="N74" s="466">
        <f>M74/CALC!$A$8*CALC!$A$6</f>
        <v>7817.2654635354274</v>
      </c>
      <c r="O74" s="466">
        <f>+M74+N74</f>
        <v>489918.48376224726</v>
      </c>
      <c r="P74" s="468">
        <v>3.57</v>
      </c>
      <c r="Q74" s="473"/>
    </row>
    <row r="75" spans="1:17" x14ac:dyDescent="0.25">
      <c r="A75" s="538" t="s">
        <v>1494</v>
      </c>
      <c r="B75" s="537" t="s">
        <v>1468</v>
      </c>
      <c r="C75" s="14"/>
      <c r="D75" s="6">
        <v>2000</v>
      </c>
      <c r="E75" s="520">
        <f>+D75/P75*(CALC!$A$4)</f>
        <v>13165.266106442577</v>
      </c>
      <c r="F75" s="526">
        <v>23400</v>
      </c>
      <c r="G75" s="28">
        <f>CALC!$A$23*(I75/CEM!I$148)</f>
        <v>15524.376169860237</v>
      </c>
      <c r="H75" s="9">
        <v>30000</v>
      </c>
      <c r="I75" s="466">
        <f>878480/8</f>
        <v>109810</v>
      </c>
      <c r="J75" s="466"/>
      <c r="K75" s="528">
        <f>18414*1.06</f>
        <v>19518.84</v>
      </c>
      <c r="L75" s="466"/>
      <c r="M75" s="466">
        <f>SUM(E75:L75)</f>
        <v>211418.48227630282</v>
      </c>
      <c r="N75" s="466">
        <f>M75/CALC!$A$8*CALC!$A$6</f>
        <v>3428.1481504732283</v>
      </c>
      <c r="O75" s="466">
        <f>+M75+N75</f>
        <v>214846.63042677604</v>
      </c>
      <c r="P75" s="468">
        <v>3.57</v>
      </c>
      <c r="Q75" s="16"/>
    </row>
    <row r="76" spans="1:17" s="7" customFormat="1" x14ac:dyDescent="0.25">
      <c r="B76" s="3" t="s">
        <v>14</v>
      </c>
      <c r="C76" s="18"/>
      <c r="D76" s="12">
        <f>SUM(D66:D75)</f>
        <v>432000</v>
      </c>
      <c r="E76" s="10">
        <f t="shared" ref="E76:M76" si="16">SUM(E66:E75)</f>
        <v>2380231.6501821964</v>
      </c>
      <c r="F76" s="10">
        <f t="shared" si="16"/>
        <v>234000</v>
      </c>
      <c r="G76" s="10">
        <f t="shared" si="16"/>
        <v>41381.943092494956</v>
      </c>
      <c r="H76" s="10">
        <f t="shared" si="16"/>
        <v>570000</v>
      </c>
      <c r="I76" s="10">
        <f t="shared" si="16"/>
        <v>292710.70999999996</v>
      </c>
      <c r="J76" s="24">
        <f t="shared" si="16"/>
        <v>0</v>
      </c>
      <c r="K76" s="10">
        <f t="shared" si="16"/>
        <v>170505.96</v>
      </c>
      <c r="L76" s="10"/>
      <c r="M76" s="10">
        <f t="shared" si="16"/>
        <v>2786668.6632746914</v>
      </c>
      <c r="N76" s="10">
        <f>M76/CALC!$A$8*CALC!$A$6</f>
        <v>45185.798900504225</v>
      </c>
      <c r="O76" s="10">
        <f>+M76+N76</f>
        <v>2831854.4621751956</v>
      </c>
      <c r="P76" s="25"/>
      <c r="Q76" s="111">
        <f>(+O76/D76)*(1+CALC!$A$3)</f>
        <v>6.5552186624425826</v>
      </c>
    </row>
    <row r="77" spans="1:17" ht="11" thickBot="1" x14ac:dyDescent="0.3">
      <c r="Q77" s="16"/>
    </row>
    <row r="78" spans="1:17" ht="11" thickBot="1" x14ac:dyDescent="0.3">
      <c r="A78" s="284" t="s">
        <v>10</v>
      </c>
      <c r="B78" s="285" t="s">
        <v>632</v>
      </c>
      <c r="D78" s="541" t="s">
        <v>622</v>
      </c>
      <c r="E78" s="542"/>
      <c r="F78" s="543"/>
      <c r="Q78" s="16"/>
    </row>
    <row r="79" spans="1:17" x14ac:dyDescent="0.25">
      <c r="Q79" s="16"/>
    </row>
    <row r="80" spans="1:17" x14ac:dyDescent="0.25">
      <c r="A80" s="487" t="str">
        <f>+'1-10'!C3</f>
        <v>ISUZU KB200i 2x4 CANOPY  [133]</v>
      </c>
      <c r="B80" s="483" t="str">
        <f>+'1-10'!R3</f>
        <v>CMB 436 L</v>
      </c>
      <c r="C80" s="488">
        <v>602</v>
      </c>
      <c r="D80" s="6">
        <v>27000</v>
      </c>
      <c r="E80" s="520">
        <f>+D80/P80*(CALC!$A$4)</f>
        <v>95127.436281859074</v>
      </c>
      <c r="F80" s="28">
        <v>23400</v>
      </c>
      <c r="G80" s="28">
        <f>CALC!$A$23*(I80/CEM!I$148)</f>
        <v>2324.8746472935904</v>
      </c>
      <c r="H80" s="9">
        <v>35000</v>
      </c>
      <c r="I80" s="28">
        <v>16444.75</v>
      </c>
      <c r="J80" s="28"/>
      <c r="K80" s="528">
        <f>678*1.06</f>
        <v>718.68000000000006</v>
      </c>
      <c r="L80" s="28"/>
      <c r="M80" s="28">
        <f>SUM(E80:L80)</f>
        <v>173015.74092915264</v>
      </c>
      <c r="N80" s="28">
        <f>M80/CALC!$A$8*CALC!$A$6</f>
        <v>2805.4481608371239</v>
      </c>
      <c r="O80" s="28">
        <f>+M80+N80</f>
        <v>175821.18908998976</v>
      </c>
      <c r="P80" s="37">
        <v>6.67</v>
      </c>
      <c r="Q80" s="38"/>
    </row>
    <row r="81" spans="1:17" x14ac:dyDescent="0.25">
      <c r="A81" s="487" t="str">
        <f>+'1-10'!C4</f>
        <v>ISUZU KB200i 2x4 MESH [133]</v>
      </c>
      <c r="B81" s="483" t="str">
        <f>+'1-10'!R4</f>
        <v>CMB 455 L</v>
      </c>
      <c r="C81" s="484">
        <v>603</v>
      </c>
      <c r="D81" s="6">
        <v>27000</v>
      </c>
      <c r="E81" s="520">
        <f>+D81/P81*(CALC!$A$4)</f>
        <v>95127.436281859074</v>
      </c>
      <c r="F81" s="28">
        <v>23400</v>
      </c>
      <c r="G81" s="28">
        <f>CALC!$A$23*(I81/CEM!I$148)</f>
        <v>2271.4123206166546</v>
      </c>
      <c r="H81" s="9">
        <v>35000</v>
      </c>
      <c r="I81" s="28">
        <v>16066.59</v>
      </c>
      <c r="J81" s="28"/>
      <c r="K81" s="528">
        <f>678*1.06</f>
        <v>718.68000000000006</v>
      </c>
      <c r="L81" s="28"/>
      <c r="M81" s="28">
        <f t="shared" ref="M81:M85" si="17">SUM(E81:L81)</f>
        <v>172584.1186024757</v>
      </c>
      <c r="N81" s="28">
        <f>M81/CALC!$A$8*CALC!$A$6</f>
        <v>2798.4494099948647</v>
      </c>
      <c r="O81" s="28">
        <f t="shared" ref="O81:O85" si="18">+M81+N81</f>
        <v>175382.56801247058</v>
      </c>
      <c r="P81" s="37">
        <v>6.67</v>
      </c>
      <c r="Q81" s="38"/>
    </row>
    <row r="82" spans="1:17" x14ac:dyDescent="0.25">
      <c r="A82" s="487" t="str">
        <f>+'1-10'!C5</f>
        <v>ISUZU KB200i 2x4 MESH [133]</v>
      </c>
      <c r="B82" s="483" t="str">
        <f>+'1-10'!R5</f>
        <v>CMB 576 L</v>
      </c>
      <c r="C82" s="484">
        <v>604</v>
      </c>
      <c r="D82" s="6">
        <v>30600</v>
      </c>
      <c r="E82" s="520">
        <f>+D82/P82*(CALC!$A$4)</f>
        <v>107811.0944527736</v>
      </c>
      <c r="F82" s="28">
        <v>23400</v>
      </c>
      <c r="G82" s="28">
        <f>CALC!$A$23*(I82/CEM!I$148)</f>
        <v>2271.4123206166546</v>
      </c>
      <c r="H82" s="9">
        <v>35000</v>
      </c>
      <c r="I82" s="28">
        <v>16066.59</v>
      </c>
      <c r="J82" s="28"/>
      <c r="K82" s="528">
        <f t="shared" ref="K82:K85" si="19">678*1.06</f>
        <v>718.68000000000006</v>
      </c>
      <c r="L82" s="28"/>
      <c r="M82" s="28">
        <f t="shared" si="17"/>
        <v>185267.77677339024</v>
      </c>
      <c r="N82" s="28">
        <f>M82/CALC!$A$8*CALC!$A$6</f>
        <v>3004.1147748754493</v>
      </c>
      <c r="O82" s="28">
        <f t="shared" si="18"/>
        <v>188271.8915482657</v>
      </c>
      <c r="P82" s="37">
        <v>6.67</v>
      </c>
      <c r="Q82" s="38"/>
    </row>
    <row r="83" spans="1:17" x14ac:dyDescent="0.25">
      <c r="A83" s="487" t="s">
        <v>589</v>
      </c>
      <c r="B83" s="483" t="s">
        <v>519</v>
      </c>
      <c r="C83" s="484">
        <v>605</v>
      </c>
      <c r="D83" s="6">
        <v>39000</v>
      </c>
      <c r="E83" s="520">
        <f>+D83/P83*(CALC!$A$4)</f>
        <v>137406.29685157421</v>
      </c>
      <c r="F83" s="28">
        <v>23400</v>
      </c>
      <c r="G83" s="28">
        <f>CALC!$A$23*(I83/CEM!I$148)</f>
        <v>2271.4123206166546</v>
      </c>
      <c r="H83" s="9">
        <v>35000</v>
      </c>
      <c r="I83" s="481">
        <v>16066.59</v>
      </c>
      <c r="J83" s="28"/>
      <c r="K83" s="528">
        <f t="shared" si="19"/>
        <v>718.68000000000006</v>
      </c>
      <c r="L83" s="28"/>
      <c r="M83" s="28">
        <f>SUM(E83:L83)</f>
        <v>214862.97917219086</v>
      </c>
      <c r="N83" s="28">
        <f>M83/CALC!$A$8*CALC!$A$6</f>
        <v>3484.0006262634815</v>
      </c>
      <c r="O83" s="28">
        <f>+M83+N83</f>
        <v>218346.97979845433</v>
      </c>
      <c r="P83" s="37">
        <v>6.67</v>
      </c>
      <c r="Q83" s="38"/>
    </row>
    <row r="84" spans="1:17" x14ac:dyDescent="0.25">
      <c r="A84" s="487" t="str">
        <f>+'1-10'!C7</f>
        <v>ISUZU KB200i 2x4 MESH [133]</v>
      </c>
      <c r="B84" s="483" t="str">
        <f>+'1-10'!R7</f>
        <v>CMB 490 L</v>
      </c>
      <c r="C84" s="484">
        <v>606</v>
      </c>
      <c r="D84" s="6">
        <v>27000</v>
      </c>
      <c r="E84" s="520">
        <f>+D84/P84*(CALC!$A$4)</f>
        <v>95127.436281859074</v>
      </c>
      <c r="F84" s="28">
        <v>23400</v>
      </c>
      <c r="G84" s="28">
        <f>CALC!$A$23*(I84/CEM!I$148)</f>
        <v>2271.4123206166546</v>
      </c>
      <c r="H84" s="9">
        <v>35000</v>
      </c>
      <c r="I84" s="28">
        <v>16066.59</v>
      </c>
      <c r="J84" s="28"/>
      <c r="K84" s="528">
        <f t="shared" si="19"/>
        <v>718.68000000000006</v>
      </c>
      <c r="L84" s="28"/>
      <c r="M84" s="28">
        <f t="shared" si="17"/>
        <v>172584.1186024757</v>
      </c>
      <c r="N84" s="28">
        <f>M84/CALC!$A$8*CALC!$A$6</f>
        <v>2798.4494099948647</v>
      </c>
      <c r="O84" s="28">
        <f t="shared" si="18"/>
        <v>175382.56801247058</v>
      </c>
      <c r="P84" s="37">
        <v>6.67</v>
      </c>
      <c r="Q84" s="38"/>
    </row>
    <row r="85" spans="1:17" x14ac:dyDescent="0.25">
      <c r="A85" s="487" t="str">
        <f>+'1-10'!C8</f>
        <v>ISUZU KB200i 2x4 MESH [133]</v>
      </c>
      <c r="B85" s="483" t="str">
        <f>+'1-10'!R8</f>
        <v>CMB 486 L</v>
      </c>
      <c r="C85" s="484">
        <v>607</v>
      </c>
      <c r="D85" s="6">
        <v>27000</v>
      </c>
      <c r="E85" s="520">
        <f>+D85/P85*(CALC!$A$4)</f>
        <v>95127.436281859074</v>
      </c>
      <c r="F85" s="28">
        <v>23400</v>
      </c>
      <c r="G85" s="28">
        <f>CALC!$A$23*(I85/CEM!I$148)</f>
        <v>2271.4123206166546</v>
      </c>
      <c r="H85" s="9">
        <v>35000</v>
      </c>
      <c r="I85" s="28">
        <v>16066.59</v>
      </c>
      <c r="J85" s="28"/>
      <c r="K85" s="528">
        <f t="shared" si="19"/>
        <v>718.68000000000006</v>
      </c>
      <c r="L85" s="28"/>
      <c r="M85" s="28">
        <f t="shared" si="17"/>
        <v>172584.1186024757</v>
      </c>
      <c r="N85" s="28">
        <f>M85/CALC!$A$8*CALC!$A$6</f>
        <v>2798.4494099948647</v>
      </c>
      <c r="O85" s="28">
        <f t="shared" si="18"/>
        <v>175382.56801247058</v>
      </c>
      <c r="P85" s="37">
        <v>6.67</v>
      </c>
      <c r="Q85" s="38"/>
    </row>
    <row r="86" spans="1:17" x14ac:dyDescent="0.25">
      <c r="A86" s="36"/>
      <c r="B86" s="8"/>
      <c r="C86" s="14"/>
      <c r="D86" s="6"/>
      <c r="E86" s="8"/>
      <c r="F86" s="9"/>
      <c r="G86" s="28"/>
      <c r="H86" s="9"/>
      <c r="I86" s="9"/>
      <c r="J86" s="28"/>
      <c r="K86" s="9"/>
      <c r="L86" s="9"/>
      <c r="M86" s="9"/>
      <c r="N86" s="9"/>
      <c r="O86" s="9"/>
      <c r="P86" s="23"/>
      <c r="Q86" s="16"/>
    </row>
    <row r="87" spans="1:17" s="7" customFormat="1" x14ac:dyDescent="0.25">
      <c r="B87" s="3" t="s">
        <v>14</v>
      </c>
      <c r="C87" s="18"/>
      <c r="D87" s="12">
        <f t="shared" ref="D87:K87" si="20">SUM(D80:D86)</f>
        <v>177600</v>
      </c>
      <c r="E87" s="10">
        <f t="shared" si="20"/>
        <v>625727.13643178414</v>
      </c>
      <c r="F87" s="10">
        <f t="shared" si="20"/>
        <v>140400</v>
      </c>
      <c r="G87" s="24">
        <f t="shared" si="20"/>
        <v>13681.936250376864</v>
      </c>
      <c r="H87" s="10">
        <f t="shared" si="20"/>
        <v>210000</v>
      </c>
      <c r="I87" s="10">
        <f t="shared" si="20"/>
        <v>96777.7</v>
      </c>
      <c r="J87" s="24">
        <f t="shared" si="20"/>
        <v>0</v>
      </c>
      <c r="K87" s="10">
        <f t="shared" si="20"/>
        <v>4312.0800000000008</v>
      </c>
      <c r="L87" s="10">
        <f>+L80+L81+L82+L83+L84+L85</f>
        <v>0</v>
      </c>
      <c r="M87" s="10">
        <f>SUM(M80:M86)</f>
        <v>1090898.8526821609</v>
      </c>
      <c r="N87" s="10">
        <f>M87/CALC!$A$8*CALC!$A$6</f>
        <v>17688.911791960651</v>
      </c>
      <c r="O87" s="10">
        <f>+M87+N87</f>
        <v>1108587.7644741216</v>
      </c>
      <c r="P87" s="25"/>
      <c r="Q87" s="111">
        <f>(+O87/D87)*(1+CALC!$A$3)</f>
        <v>6.2420482233903245</v>
      </c>
    </row>
    <row r="88" spans="1:17" ht="11" thickBot="1" x14ac:dyDescent="0.3">
      <c r="Q88" s="16"/>
    </row>
    <row r="89" spans="1:17" ht="11" thickBot="1" x14ac:dyDescent="0.3">
      <c r="A89" s="284" t="s">
        <v>10</v>
      </c>
      <c r="B89" s="285" t="s">
        <v>633</v>
      </c>
      <c r="D89" s="541" t="s">
        <v>580</v>
      </c>
      <c r="E89" s="542"/>
      <c r="F89" s="543"/>
      <c r="Q89" s="16"/>
    </row>
    <row r="90" spans="1:17" x14ac:dyDescent="0.25">
      <c r="Q90" s="16"/>
    </row>
    <row r="91" spans="1:17" x14ac:dyDescent="0.25">
      <c r="A91" s="483" t="str">
        <f>+'1-10'!C77</f>
        <v>HINO 300 [133]</v>
      </c>
      <c r="B91" s="483" t="str">
        <f>+'1-10'!R77</f>
        <v>CML 496 L</v>
      </c>
      <c r="C91" s="484">
        <v>676</v>
      </c>
      <c r="D91" s="6">
        <v>42000</v>
      </c>
      <c r="E91" s="520">
        <f>+D91/P91*(CALC!$A$4)</f>
        <v>493500</v>
      </c>
      <c r="F91" s="28">
        <v>23400</v>
      </c>
      <c r="G91" s="28">
        <f>CALC!$A$23*(I91/CEM!I$148)</f>
        <v>3665.8097806701276</v>
      </c>
      <c r="H91" s="28">
        <f>70000</f>
        <v>70000</v>
      </c>
      <c r="I91" s="28">
        <v>25929.71</v>
      </c>
      <c r="J91" s="28"/>
      <c r="K91" s="528">
        <f>2460*1.1</f>
        <v>2706</v>
      </c>
      <c r="L91" s="28"/>
      <c r="M91" s="28">
        <f>SUM(E91:L91)</f>
        <v>619201.51978067006</v>
      </c>
      <c r="N91" s="24">
        <f>M91/CALC!$A$8*CALC!$A$6</f>
        <v>10040.345205165841</v>
      </c>
      <c r="O91" s="28">
        <f>+M91+N91</f>
        <v>629241.86498583585</v>
      </c>
      <c r="P91" s="37">
        <v>2</v>
      </c>
      <c r="Q91" s="38"/>
    </row>
    <row r="92" spans="1:17" x14ac:dyDescent="0.25">
      <c r="A92" s="483" t="str">
        <f>+'1-10'!C78</f>
        <v>HINO 300 [133]</v>
      </c>
      <c r="B92" s="483" t="str">
        <f>+'1-10'!R78</f>
        <v>CMN 332 L</v>
      </c>
      <c r="C92" s="484">
        <v>677</v>
      </c>
      <c r="D92" s="6">
        <v>42000</v>
      </c>
      <c r="E92" s="520">
        <f>+D92/P92*(CALC!$A$4)</f>
        <v>493500</v>
      </c>
      <c r="F92" s="28">
        <v>23400</v>
      </c>
      <c r="G92" s="28">
        <f>CALC!$A$23*(I92/CEM!I$148)</f>
        <v>6156.627440992208</v>
      </c>
      <c r="H92" s="28">
        <f>70000</f>
        <v>70000</v>
      </c>
      <c r="I92" s="28">
        <v>43548.24</v>
      </c>
      <c r="J92" s="28"/>
      <c r="K92" s="528">
        <f>2460*1.1</f>
        <v>2706</v>
      </c>
      <c r="L92" s="28"/>
      <c r="M92" s="28">
        <f>SUM(E92:L92)</f>
        <v>639310.86744099227</v>
      </c>
      <c r="N92" s="28">
        <f>M92/CALC!$A$8*CALC!$A$6</f>
        <v>10366.41803591704</v>
      </c>
      <c r="O92" s="28">
        <f>+M92+N92</f>
        <v>649677.28547690925</v>
      </c>
      <c r="P92" s="37">
        <v>2</v>
      </c>
      <c r="Q92" s="38"/>
    </row>
    <row r="93" spans="1:17" x14ac:dyDescent="0.25">
      <c r="A93" s="483" t="str">
        <f>+'1-10'!C79</f>
        <v>HINO 300 [133]</v>
      </c>
      <c r="B93" s="483" t="str">
        <f>+'1-10'!R79</f>
        <v>CML 494 L</v>
      </c>
      <c r="C93" s="484">
        <v>678</v>
      </c>
      <c r="D93" s="6">
        <v>42000</v>
      </c>
      <c r="E93" s="520">
        <f>+D93/P93*(CALC!$A$4)</f>
        <v>493500</v>
      </c>
      <c r="F93" s="28">
        <v>23400</v>
      </c>
      <c r="G93" s="28">
        <f>CALC!$A$23*(I93/CEM!I$148)</f>
        <v>6156.627440992208</v>
      </c>
      <c r="H93" s="28">
        <f>70000</f>
        <v>70000</v>
      </c>
      <c r="I93" s="28">
        <v>43548.24</v>
      </c>
      <c r="J93" s="28"/>
      <c r="K93" s="528">
        <f>2460*1.1</f>
        <v>2706</v>
      </c>
      <c r="L93" s="28"/>
      <c r="M93" s="28">
        <f>SUM(E93:L93)</f>
        <v>639310.86744099227</v>
      </c>
      <c r="N93" s="28">
        <f>M93/CALC!$A$8*CALC!$A$6</f>
        <v>10366.41803591704</v>
      </c>
      <c r="O93" s="28">
        <f>+M93+N93</f>
        <v>649677.28547690925</v>
      </c>
      <c r="P93" s="37">
        <v>2</v>
      </c>
      <c r="Q93" s="38"/>
    </row>
    <row r="94" spans="1:17" x14ac:dyDescent="0.25">
      <c r="A94" s="536" t="s">
        <v>1495</v>
      </c>
      <c r="B94" s="537" t="s">
        <v>1496</v>
      </c>
      <c r="C94" s="534"/>
      <c r="D94" s="6">
        <v>42000</v>
      </c>
      <c r="E94" s="520">
        <f>+D94/P94*(CALC!$A$4)</f>
        <v>493500</v>
      </c>
      <c r="F94" s="28">
        <v>23400</v>
      </c>
      <c r="G94" s="28">
        <f>CALC!$A$23*(I94/CEM!I$148)</f>
        <v>6156.627440992208</v>
      </c>
      <c r="H94" s="28">
        <v>35000</v>
      </c>
      <c r="I94" s="28">
        <v>43548.24</v>
      </c>
      <c r="J94" s="28"/>
      <c r="K94" s="528">
        <f>3324*1.06</f>
        <v>3523.44</v>
      </c>
      <c r="L94" s="28"/>
      <c r="M94" s="28">
        <f>SUM(E94:L94)</f>
        <v>605128.30744099221</v>
      </c>
      <c r="N94" s="28">
        <f>M94/CALC!$A$8*CALC!$A$6</f>
        <v>9812.1482361305953</v>
      </c>
      <c r="O94" s="28">
        <f>+M94+N94</f>
        <v>614940.45567712281</v>
      </c>
      <c r="P94" s="37">
        <v>2</v>
      </c>
      <c r="Q94" s="38"/>
    </row>
    <row r="95" spans="1:17" s="7" customFormat="1" x14ac:dyDescent="0.25">
      <c r="B95" s="3" t="s">
        <v>14</v>
      </c>
      <c r="C95" s="18"/>
      <c r="D95" s="12">
        <f>SUM(D91:D94)</f>
        <v>168000</v>
      </c>
      <c r="E95" s="12">
        <f t="shared" ref="E95:O95" si="21">SUM(E91:E94)</f>
        <v>1974000</v>
      </c>
      <c r="F95" s="12">
        <f t="shared" si="21"/>
        <v>93600</v>
      </c>
      <c r="G95" s="12">
        <f t="shared" si="21"/>
        <v>22135.692103646754</v>
      </c>
      <c r="H95" s="12">
        <f t="shared" si="21"/>
        <v>245000</v>
      </c>
      <c r="I95" s="12">
        <f t="shared" si="21"/>
        <v>156574.43</v>
      </c>
      <c r="J95" s="12">
        <f t="shared" si="21"/>
        <v>0</v>
      </c>
      <c r="K95" s="12">
        <f t="shared" si="21"/>
        <v>11641.44</v>
      </c>
      <c r="L95" s="12">
        <f t="shared" si="21"/>
        <v>0</v>
      </c>
      <c r="M95" s="12">
        <f t="shared" si="21"/>
        <v>2502951.5621036468</v>
      </c>
      <c r="N95" s="12">
        <f t="shared" si="21"/>
        <v>40585.32951313052</v>
      </c>
      <c r="O95" s="12">
        <f t="shared" si="21"/>
        <v>2543536.8916167775</v>
      </c>
      <c r="P95" s="25"/>
      <c r="Q95" s="111">
        <f>(+O95/D95)*(1+CALC!$A$3)</f>
        <v>15.140100545337962</v>
      </c>
    </row>
    <row r="96" spans="1:17" ht="11" thickBot="1" x14ac:dyDescent="0.3">
      <c r="Q96" s="16"/>
    </row>
    <row r="97" spans="1:17" ht="11" thickBot="1" x14ac:dyDescent="0.3">
      <c r="A97" s="284" t="s">
        <v>10</v>
      </c>
      <c r="B97" s="285" t="s">
        <v>634</v>
      </c>
      <c r="D97" s="541" t="s">
        <v>627</v>
      </c>
      <c r="E97" s="542"/>
      <c r="F97" s="543"/>
      <c r="Q97" s="16"/>
    </row>
    <row r="98" spans="1:17" x14ac:dyDescent="0.25">
      <c r="Q98" s="16"/>
    </row>
    <row r="99" spans="1:17" x14ac:dyDescent="0.25">
      <c r="A99" s="489" t="str">
        <f>+'1-10'!C89</f>
        <v>ISUZU  FVZ 1600 COMPACTOR [133]</v>
      </c>
      <c r="B99" s="483" t="str">
        <f>+'1-10'!R89</f>
        <v>CNT 192 L</v>
      </c>
      <c r="C99" s="484">
        <v>688</v>
      </c>
      <c r="D99" s="6">
        <v>30000</v>
      </c>
      <c r="E99" s="520">
        <f>+D99/P99*(CALC!$A$4)</f>
        <v>587500</v>
      </c>
      <c r="F99" s="28">
        <v>23400</v>
      </c>
      <c r="G99" s="28">
        <f>CALC!$A$23*(I99/CEM!I$148)</f>
        <v>19026.936129069454</v>
      </c>
      <c r="H99" s="28">
        <f>120000</f>
        <v>120000</v>
      </c>
      <c r="I99" s="28">
        <v>134584.98000000001</v>
      </c>
      <c r="J99" s="28"/>
      <c r="K99" s="528">
        <f>38250*1.06</f>
        <v>40545</v>
      </c>
      <c r="L99" s="28"/>
      <c r="M99" s="28">
        <f>SUM(E99:L99)</f>
        <v>925056.9161290694</v>
      </c>
      <c r="N99" s="24">
        <f>M99/CALC!$A$8*CALC!$A$6</f>
        <v>14999.786782906964</v>
      </c>
      <c r="O99" s="28">
        <f>+M99+N99</f>
        <v>940056.70291197638</v>
      </c>
      <c r="P99" s="37">
        <v>1.2</v>
      </c>
      <c r="Q99" s="38"/>
    </row>
    <row r="100" spans="1:17" x14ac:dyDescent="0.25">
      <c r="A100" s="8"/>
      <c r="B100" s="8"/>
      <c r="C100" s="14"/>
      <c r="D100" s="6"/>
      <c r="E100" s="48"/>
      <c r="F100" s="28"/>
      <c r="G100" s="28"/>
      <c r="H100" s="28"/>
      <c r="I100" s="28"/>
      <c r="J100" s="28"/>
      <c r="K100" s="28"/>
      <c r="L100" s="28"/>
      <c r="M100" s="28"/>
      <c r="N100" s="24"/>
      <c r="O100" s="28"/>
      <c r="P100" s="37"/>
      <c r="Q100" s="38"/>
    </row>
    <row r="101" spans="1:17" s="7" customFormat="1" x14ac:dyDescent="0.25">
      <c r="B101" s="3" t="s">
        <v>14</v>
      </c>
      <c r="C101" s="18"/>
      <c r="D101" s="12">
        <f t="shared" ref="D101:K101" si="22">SUM(D99:D100)</f>
        <v>30000</v>
      </c>
      <c r="E101" s="10">
        <f t="shared" si="22"/>
        <v>587500</v>
      </c>
      <c r="F101" s="10">
        <f t="shared" si="22"/>
        <v>23400</v>
      </c>
      <c r="G101" s="10">
        <f t="shared" si="22"/>
        <v>19026.936129069454</v>
      </c>
      <c r="H101" s="10">
        <f t="shared" si="22"/>
        <v>120000</v>
      </c>
      <c r="I101" s="10">
        <f t="shared" si="22"/>
        <v>134584.98000000001</v>
      </c>
      <c r="J101" s="24">
        <f t="shared" si="22"/>
        <v>0</v>
      </c>
      <c r="K101" s="10">
        <f t="shared" si="22"/>
        <v>40545</v>
      </c>
      <c r="L101" s="10">
        <f>+L99</f>
        <v>0</v>
      </c>
      <c r="M101" s="10">
        <f>SUM(M99:M100)</f>
        <v>925056.9161290694</v>
      </c>
      <c r="N101" s="10">
        <f>M101/CALC!$A$8*CALC!$A$6</f>
        <v>14999.786782906964</v>
      </c>
      <c r="O101" s="10">
        <f>+M101+N101</f>
        <v>940056.70291197638</v>
      </c>
      <c r="P101" s="25"/>
      <c r="Q101" s="111">
        <f>(+O101/D101)*(1+CALC!$A$3)</f>
        <v>31.335223430399214</v>
      </c>
    </row>
    <row r="102" spans="1:17" x14ac:dyDescent="0.25">
      <c r="Q102" s="16"/>
    </row>
    <row r="103" spans="1:17" s="7" customFormat="1" x14ac:dyDescent="0.25">
      <c r="A103" s="32" t="s">
        <v>42</v>
      </c>
      <c r="B103" s="51" t="s">
        <v>14</v>
      </c>
      <c r="C103" s="52"/>
      <c r="D103" s="53">
        <f t="shared" ref="D103:O103" si="23">+D76+D87+D95+D101</f>
        <v>807600</v>
      </c>
      <c r="E103" s="55">
        <f t="shared" si="23"/>
        <v>5567458.7866139803</v>
      </c>
      <c r="F103" s="55">
        <f t="shared" si="23"/>
        <v>491400</v>
      </c>
      <c r="G103" s="55">
        <f t="shared" si="23"/>
        <v>96226.507575588024</v>
      </c>
      <c r="H103" s="55">
        <f t="shared" si="23"/>
        <v>1145000</v>
      </c>
      <c r="I103" s="55">
        <f t="shared" si="23"/>
        <v>680647.82</v>
      </c>
      <c r="J103" s="55">
        <f t="shared" si="23"/>
        <v>0</v>
      </c>
      <c r="K103" s="55">
        <f t="shared" si="23"/>
        <v>227004.47999999998</v>
      </c>
      <c r="L103" s="55">
        <f t="shared" si="23"/>
        <v>0</v>
      </c>
      <c r="M103" s="55">
        <f t="shared" si="23"/>
        <v>7305575.9941895688</v>
      </c>
      <c r="N103" s="55">
        <f t="shared" si="23"/>
        <v>118459.82698850236</v>
      </c>
      <c r="O103" s="55">
        <f t="shared" si="23"/>
        <v>7424035.8211780712</v>
      </c>
      <c r="P103" s="54"/>
      <c r="Q103" s="40"/>
    </row>
    <row r="104" spans="1:17" x14ac:dyDescent="0.25">
      <c r="P104" s="5"/>
      <c r="Q104" s="38"/>
    </row>
    <row r="105" spans="1:17" s="7" customFormat="1" x14ac:dyDescent="0.25">
      <c r="A105" s="7" t="s">
        <v>30</v>
      </c>
      <c r="B105" s="63" t="s">
        <v>14</v>
      </c>
      <c r="C105" s="64"/>
      <c r="D105" s="65">
        <f t="shared" ref="D105:O105" si="24">+D51+D61+D103</f>
        <v>904400</v>
      </c>
      <c r="E105" s="66">
        <f t="shared" si="24"/>
        <v>6372914.8129714308</v>
      </c>
      <c r="F105" s="66">
        <f t="shared" si="24"/>
        <v>649800</v>
      </c>
      <c r="G105" s="66">
        <f t="shared" si="24"/>
        <v>116935.80201386259</v>
      </c>
      <c r="H105" s="66">
        <f t="shared" si="24"/>
        <v>1482928.15</v>
      </c>
      <c r="I105" s="66">
        <f t="shared" si="24"/>
        <v>827132.77999999991</v>
      </c>
      <c r="J105" s="66">
        <f t="shared" si="24"/>
        <v>0</v>
      </c>
      <c r="K105" s="66">
        <f t="shared" si="24"/>
        <v>249435.59999999998</v>
      </c>
      <c r="L105" s="66">
        <f t="shared" si="24"/>
        <v>0</v>
      </c>
      <c r="M105" s="66">
        <f t="shared" si="24"/>
        <v>8796985.5449852943</v>
      </c>
      <c r="N105" s="66">
        <f t="shared" si="24"/>
        <v>140453.63489539328</v>
      </c>
      <c r="O105" s="66">
        <f t="shared" si="24"/>
        <v>8937439.179880688</v>
      </c>
      <c r="P105" s="17"/>
      <c r="Q105" s="40"/>
    </row>
    <row r="106" spans="1:17" x14ac:dyDescent="0.25">
      <c r="P106" s="5"/>
      <c r="Q106" s="38"/>
    </row>
    <row r="107" spans="1:17" x14ac:dyDescent="0.25">
      <c r="Q107" s="16"/>
    </row>
    <row r="108" spans="1:17" x14ac:dyDescent="0.25">
      <c r="D108" s="13">
        <f>+D9+D16+D23+D29+D40+D49+D59+D76+D87+D95+D101</f>
        <v>904400</v>
      </c>
      <c r="E108" s="13">
        <f t="shared" ref="E108:O108" si="25">+E9+E16+E23+E29+E40+E49+E59+E76+E87+E95+E101</f>
        <v>6372914.8129714308</v>
      </c>
      <c r="F108" s="13">
        <f t="shared" si="25"/>
        <v>649800</v>
      </c>
      <c r="G108" s="13">
        <f t="shared" si="25"/>
        <v>116935.80201386259</v>
      </c>
      <c r="H108" s="13">
        <f t="shared" si="25"/>
        <v>1482928.15</v>
      </c>
      <c r="I108" s="13">
        <f t="shared" si="25"/>
        <v>827132.7799999998</v>
      </c>
      <c r="J108" s="13">
        <f t="shared" si="25"/>
        <v>0</v>
      </c>
      <c r="K108" s="13">
        <f t="shared" si="25"/>
        <v>249435.59999999998</v>
      </c>
      <c r="L108" s="13">
        <f t="shared" si="25"/>
        <v>0</v>
      </c>
      <c r="M108" s="13">
        <f t="shared" si="25"/>
        <v>8796985.5449852943</v>
      </c>
      <c r="N108" s="13">
        <f t="shared" si="25"/>
        <v>140453.63489539325</v>
      </c>
      <c r="O108" s="13">
        <f t="shared" si="25"/>
        <v>8937439.179880688</v>
      </c>
      <c r="P108" s="13"/>
      <c r="Q108" s="13"/>
    </row>
    <row r="109" spans="1:17" x14ac:dyDescent="0.25">
      <c r="I109" s="49">
        <f>-I76</f>
        <v>-292710.70999999996</v>
      </c>
      <c r="Q109" s="16"/>
    </row>
    <row r="110" spans="1:17" x14ac:dyDescent="0.25">
      <c r="Q110" s="16"/>
    </row>
    <row r="111" spans="1:17" x14ac:dyDescent="0.25">
      <c r="Q111" s="16"/>
    </row>
    <row r="112" spans="1:17" x14ac:dyDescent="0.25">
      <c r="Q112" s="16"/>
    </row>
    <row r="113" spans="17:17" x14ac:dyDescent="0.25">
      <c r="Q113" s="16"/>
    </row>
    <row r="114" spans="17:17" x14ac:dyDescent="0.25">
      <c r="Q114" s="16"/>
    </row>
    <row r="115" spans="17:17" x14ac:dyDescent="0.25">
      <c r="Q115" s="16"/>
    </row>
    <row r="116" spans="17:17" x14ac:dyDescent="0.25">
      <c r="Q116" s="16"/>
    </row>
    <row r="117" spans="17:17" x14ac:dyDescent="0.25">
      <c r="Q117" s="16"/>
    </row>
    <row r="118" spans="17:17" x14ac:dyDescent="0.25">
      <c r="Q118" s="16"/>
    </row>
    <row r="119" spans="17:17" x14ac:dyDescent="0.25">
      <c r="Q119" s="16"/>
    </row>
    <row r="120" spans="17:17" x14ac:dyDescent="0.25">
      <c r="Q120" s="16"/>
    </row>
    <row r="121" spans="17:17" x14ac:dyDescent="0.25">
      <c r="Q121" s="16"/>
    </row>
    <row r="122" spans="17:17" x14ac:dyDescent="0.25">
      <c r="Q122" s="16"/>
    </row>
    <row r="123" spans="17:17" x14ac:dyDescent="0.25">
      <c r="Q123" s="16"/>
    </row>
    <row r="124" spans="17:17" x14ac:dyDescent="0.25">
      <c r="Q124" s="16"/>
    </row>
    <row r="125" spans="17:17" x14ac:dyDescent="0.25">
      <c r="Q125" s="16"/>
    </row>
    <row r="126" spans="17:17" x14ac:dyDescent="0.25">
      <c r="Q126" s="16"/>
    </row>
    <row r="127" spans="17:17" x14ac:dyDescent="0.25">
      <c r="Q127" s="16"/>
    </row>
    <row r="128" spans="17:17" x14ac:dyDescent="0.25">
      <c r="Q128" s="16"/>
    </row>
    <row r="129" spans="17:17" x14ac:dyDescent="0.25">
      <c r="Q129" s="16"/>
    </row>
    <row r="130" spans="17:17" x14ac:dyDescent="0.25">
      <c r="Q130" s="16"/>
    </row>
    <row r="131" spans="17:17" x14ac:dyDescent="0.25">
      <c r="Q131" s="16"/>
    </row>
    <row r="132" spans="17:17" x14ac:dyDescent="0.25">
      <c r="Q132" s="16"/>
    </row>
    <row r="133" spans="17:17" x14ac:dyDescent="0.25">
      <c r="Q133" s="16"/>
    </row>
    <row r="134" spans="17:17" x14ac:dyDescent="0.25">
      <c r="Q134" s="16"/>
    </row>
    <row r="135" spans="17:17" x14ac:dyDescent="0.25">
      <c r="Q135" s="16"/>
    </row>
    <row r="136" spans="17:17" x14ac:dyDescent="0.25">
      <c r="Q136" s="16"/>
    </row>
    <row r="137" spans="17:17" x14ac:dyDescent="0.25">
      <c r="Q137" s="16"/>
    </row>
    <row r="138" spans="17:17" x14ac:dyDescent="0.25">
      <c r="Q138" s="16"/>
    </row>
    <row r="139" spans="17:17" x14ac:dyDescent="0.25">
      <c r="Q139" s="16"/>
    </row>
    <row r="140" spans="17:17" x14ac:dyDescent="0.25">
      <c r="Q140" s="16"/>
    </row>
    <row r="141" spans="17:17" x14ac:dyDescent="0.25">
      <c r="Q141" s="16"/>
    </row>
    <row r="142" spans="17:17" x14ac:dyDescent="0.25">
      <c r="Q142" s="16"/>
    </row>
    <row r="143" spans="17:17" x14ac:dyDescent="0.25">
      <c r="Q143" s="16"/>
    </row>
    <row r="144" spans="17:17" x14ac:dyDescent="0.25">
      <c r="Q144" s="16"/>
    </row>
    <row r="145" spans="17:17" x14ac:dyDescent="0.25">
      <c r="Q145" s="16"/>
    </row>
    <row r="146" spans="17:17" x14ac:dyDescent="0.25">
      <c r="Q146" s="16"/>
    </row>
    <row r="147" spans="17:17" x14ac:dyDescent="0.25">
      <c r="Q147" s="16"/>
    </row>
    <row r="148" spans="17:17" x14ac:dyDescent="0.25">
      <c r="Q148" s="16"/>
    </row>
    <row r="149" spans="17:17" x14ac:dyDescent="0.25">
      <c r="Q149" s="16"/>
    </row>
    <row r="150" spans="17:17" x14ac:dyDescent="0.25">
      <c r="Q150" s="16"/>
    </row>
    <row r="151" spans="17:17" x14ac:dyDescent="0.25">
      <c r="Q151" s="16"/>
    </row>
    <row r="152" spans="17:17" x14ac:dyDescent="0.25">
      <c r="Q152" s="16"/>
    </row>
    <row r="153" spans="17:17" x14ac:dyDescent="0.25">
      <c r="Q153" s="16"/>
    </row>
    <row r="154" spans="17:17" x14ac:dyDescent="0.25">
      <c r="Q154" s="16"/>
    </row>
    <row r="155" spans="17:17" x14ac:dyDescent="0.25">
      <c r="Q155" s="16"/>
    </row>
    <row r="156" spans="17:17" x14ac:dyDescent="0.25">
      <c r="Q156" s="16"/>
    </row>
    <row r="157" spans="17:17" x14ac:dyDescent="0.25">
      <c r="Q157" s="16"/>
    </row>
    <row r="158" spans="17:17" x14ac:dyDescent="0.25">
      <c r="Q158" s="16"/>
    </row>
    <row r="159" spans="17:17" x14ac:dyDescent="0.25">
      <c r="Q159" s="16"/>
    </row>
    <row r="160" spans="17:17" x14ac:dyDescent="0.25">
      <c r="Q160" s="16"/>
    </row>
    <row r="161" spans="17:17" x14ac:dyDescent="0.25">
      <c r="Q161" s="16"/>
    </row>
    <row r="162" spans="17:17" x14ac:dyDescent="0.25">
      <c r="Q162" s="16"/>
    </row>
    <row r="163" spans="17:17" x14ac:dyDescent="0.25">
      <c r="Q163" s="16"/>
    </row>
    <row r="164" spans="17:17" x14ac:dyDescent="0.25">
      <c r="Q164" s="16"/>
    </row>
    <row r="165" spans="17:17" x14ac:dyDescent="0.25">
      <c r="Q165" s="16"/>
    </row>
    <row r="166" spans="17:17" x14ac:dyDescent="0.25">
      <c r="Q166" s="16"/>
    </row>
    <row r="167" spans="17:17" x14ac:dyDescent="0.25">
      <c r="Q167" s="16"/>
    </row>
    <row r="168" spans="17:17" x14ac:dyDescent="0.25">
      <c r="Q168" s="16"/>
    </row>
    <row r="169" spans="17:17" x14ac:dyDescent="0.25">
      <c r="Q169" s="16"/>
    </row>
    <row r="170" spans="17:17" x14ac:dyDescent="0.25">
      <c r="Q170" s="16"/>
    </row>
    <row r="171" spans="17:17" x14ac:dyDescent="0.25">
      <c r="Q171" s="16"/>
    </row>
    <row r="172" spans="17:17" x14ac:dyDescent="0.25">
      <c r="Q172" s="16"/>
    </row>
    <row r="173" spans="17:17" x14ac:dyDescent="0.25">
      <c r="Q173" s="16"/>
    </row>
    <row r="174" spans="17:17" x14ac:dyDescent="0.25">
      <c r="Q174" s="16"/>
    </row>
    <row r="175" spans="17:17" x14ac:dyDescent="0.25">
      <c r="Q175" s="16"/>
    </row>
    <row r="176" spans="17:17" x14ac:dyDescent="0.25">
      <c r="Q176" s="16"/>
    </row>
    <row r="177" spans="17:17" x14ac:dyDescent="0.25">
      <c r="Q177" s="16"/>
    </row>
    <row r="178" spans="17:17" x14ac:dyDescent="0.25">
      <c r="Q178" s="16"/>
    </row>
    <row r="179" spans="17:17" x14ac:dyDescent="0.25">
      <c r="Q179" s="16"/>
    </row>
    <row r="180" spans="17:17" x14ac:dyDescent="0.25">
      <c r="Q180" s="16"/>
    </row>
    <row r="181" spans="17:17" x14ac:dyDescent="0.25">
      <c r="Q181" s="16"/>
    </row>
    <row r="182" spans="17:17" x14ac:dyDescent="0.25">
      <c r="Q182" s="16"/>
    </row>
    <row r="183" spans="17:17" x14ac:dyDescent="0.25">
      <c r="Q183" s="16"/>
    </row>
    <row r="184" spans="17:17" x14ac:dyDescent="0.25">
      <c r="Q184" s="16"/>
    </row>
    <row r="185" spans="17:17" x14ac:dyDescent="0.25">
      <c r="Q185" s="16"/>
    </row>
    <row r="186" spans="17:17" x14ac:dyDescent="0.25">
      <c r="Q186" s="16"/>
    </row>
    <row r="187" spans="17:17" x14ac:dyDescent="0.25">
      <c r="Q187" s="16"/>
    </row>
    <row r="188" spans="17:17" x14ac:dyDescent="0.25">
      <c r="Q188" s="16"/>
    </row>
    <row r="189" spans="17:17" x14ac:dyDescent="0.25">
      <c r="Q189" s="16"/>
    </row>
    <row r="190" spans="17:17" x14ac:dyDescent="0.25">
      <c r="Q190" s="16"/>
    </row>
    <row r="191" spans="17:17" x14ac:dyDescent="0.25">
      <c r="Q191" s="16"/>
    </row>
    <row r="192" spans="17:17" x14ac:dyDescent="0.25">
      <c r="Q192" s="16"/>
    </row>
    <row r="193" spans="17:17" x14ac:dyDescent="0.25">
      <c r="Q193" s="16"/>
    </row>
    <row r="194" spans="17:17" x14ac:dyDescent="0.25">
      <c r="Q194" s="16"/>
    </row>
    <row r="195" spans="17:17" x14ac:dyDescent="0.25">
      <c r="Q195" s="16"/>
    </row>
    <row r="196" spans="17:17" x14ac:dyDescent="0.25">
      <c r="Q196" s="16"/>
    </row>
    <row r="197" spans="17:17" x14ac:dyDescent="0.25">
      <c r="Q197" s="16"/>
    </row>
    <row r="198" spans="17:17" x14ac:dyDescent="0.25">
      <c r="Q198" s="16"/>
    </row>
    <row r="199" spans="17:17" x14ac:dyDescent="0.25">
      <c r="Q199" s="16"/>
    </row>
    <row r="200" spans="17:17" x14ac:dyDescent="0.25">
      <c r="Q200" s="16"/>
    </row>
    <row r="201" spans="17:17" x14ac:dyDescent="0.25">
      <c r="Q201" s="16"/>
    </row>
    <row r="202" spans="17:17" x14ac:dyDescent="0.25">
      <c r="Q202" s="16"/>
    </row>
    <row r="203" spans="17:17" x14ac:dyDescent="0.25">
      <c r="Q203" s="16"/>
    </row>
    <row r="204" spans="17:17" x14ac:dyDescent="0.25">
      <c r="Q204" s="16"/>
    </row>
    <row r="205" spans="17:17" x14ac:dyDescent="0.25">
      <c r="Q205" s="16"/>
    </row>
    <row r="206" spans="17:17" x14ac:dyDescent="0.25">
      <c r="Q206" s="16"/>
    </row>
    <row r="207" spans="17:17" x14ac:dyDescent="0.25">
      <c r="Q207" s="16"/>
    </row>
    <row r="208" spans="17:17" x14ac:dyDescent="0.25">
      <c r="Q208" s="16"/>
    </row>
    <row r="209" spans="17:17" x14ac:dyDescent="0.25">
      <c r="Q209" s="16"/>
    </row>
    <row r="210" spans="17:17" x14ac:dyDescent="0.25">
      <c r="Q210" s="16"/>
    </row>
    <row r="211" spans="17:17" x14ac:dyDescent="0.25">
      <c r="Q211" s="16"/>
    </row>
    <row r="212" spans="17:17" x14ac:dyDescent="0.25">
      <c r="Q212" s="16"/>
    </row>
    <row r="213" spans="17:17" x14ac:dyDescent="0.25">
      <c r="Q213" s="16"/>
    </row>
    <row r="214" spans="17:17" x14ac:dyDescent="0.25">
      <c r="Q214" s="16"/>
    </row>
    <row r="215" spans="17:17" x14ac:dyDescent="0.25">
      <c r="Q215" s="16"/>
    </row>
    <row r="216" spans="17:17" x14ac:dyDescent="0.25">
      <c r="Q216" s="16"/>
    </row>
    <row r="217" spans="17:17" x14ac:dyDescent="0.25">
      <c r="Q217" s="16"/>
    </row>
    <row r="218" spans="17:17" x14ac:dyDescent="0.25">
      <c r="Q218" s="16"/>
    </row>
    <row r="219" spans="17:17" x14ac:dyDescent="0.25">
      <c r="Q219" s="16"/>
    </row>
    <row r="220" spans="17:17" x14ac:dyDescent="0.25">
      <c r="Q220" s="16"/>
    </row>
    <row r="221" spans="17:17" x14ac:dyDescent="0.25">
      <c r="Q221" s="16"/>
    </row>
    <row r="222" spans="17:17" x14ac:dyDescent="0.25">
      <c r="Q222" s="16"/>
    </row>
    <row r="223" spans="17:17" x14ac:dyDescent="0.25">
      <c r="Q223" s="16"/>
    </row>
    <row r="224" spans="17:17" x14ac:dyDescent="0.25">
      <c r="Q224" s="16"/>
    </row>
    <row r="225" spans="17:17" x14ac:dyDescent="0.25">
      <c r="Q225" s="16"/>
    </row>
    <row r="226" spans="17:17" x14ac:dyDescent="0.25">
      <c r="Q226" s="16"/>
    </row>
    <row r="227" spans="17:17" x14ac:dyDescent="0.25">
      <c r="Q227" s="16"/>
    </row>
    <row r="228" spans="17:17" x14ac:dyDescent="0.25">
      <c r="Q228" s="16"/>
    </row>
    <row r="229" spans="17:17" x14ac:dyDescent="0.25">
      <c r="Q229" s="16"/>
    </row>
    <row r="230" spans="17:17" x14ac:dyDescent="0.25">
      <c r="Q230" s="16"/>
    </row>
    <row r="231" spans="17:17" x14ac:dyDescent="0.25">
      <c r="Q231" s="16"/>
    </row>
    <row r="232" spans="17:17" x14ac:dyDescent="0.25">
      <c r="Q232" s="16"/>
    </row>
    <row r="233" spans="17:17" x14ac:dyDescent="0.25">
      <c r="Q233" s="16"/>
    </row>
    <row r="234" spans="17:17" x14ac:dyDescent="0.25">
      <c r="Q234" s="16"/>
    </row>
    <row r="235" spans="17:17" x14ac:dyDescent="0.25">
      <c r="Q235" s="16"/>
    </row>
    <row r="236" spans="17:17" x14ac:dyDescent="0.25">
      <c r="Q236" s="16"/>
    </row>
    <row r="237" spans="17:17" x14ac:dyDescent="0.25">
      <c r="Q237" s="16"/>
    </row>
    <row r="238" spans="17:17" x14ac:dyDescent="0.25">
      <c r="Q238" s="16"/>
    </row>
    <row r="239" spans="17:17" x14ac:dyDescent="0.25">
      <c r="Q239" s="16"/>
    </row>
    <row r="240" spans="17:17" x14ac:dyDescent="0.25">
      <c r="Q240" s="16"/>
    </row>
    <row r="241" spans="17:17" x14ac:dyDescent="0.25">
      <c r="Q241" s="16"/>
    </row>
    <row r="242" spans="17:17" x14ac:dyDescent="0.25">
      <c r="Q242" s="16"/>
    </row>
    <row r="243" spans="17:17" x14ac:dyDescent="0.25">
      <c r="Q243" s="16"/>
    </row>
    <row r="244" spans="17:17" x14ac:dyDescent="0.25">
      <c r="Q244" s="16"/>
    </row>
    <row r="245" spans="17:17" x14ac:dyDescent="0.25">
      <c r="Q245" s="16"/>
    </row>
    <row r="246" spans="17:17" x14ac:dyDescent="0.25">
      <c r="Q246" s="16"/>
    </row>
    <row r="247" spans="17:17" x14ac:dyDescent="0.25">
      <c r="Q247" s="16"/>
    </row>
    <row r="248" spans="17:17" x14ac:dyDescent="0.25">
      <c r="Q248" s="16"/>
    </row>
    <row r="249" spans="17:17" x14ac:dyDescent="0.25">
      <c r="Q249" s="16"/>
    </row>
    <row r="250" spans="17:17" x14ac:dyDescent="0.25">
      <c r="Q250" s="16"/>
    </row>
    <row r="251" spans="17:17" x14ac:dyDescent="0.25">
      <c r="Q251" s="16"/>
    </row>
    <row r="252" spans="17:17" x14ac:dyDescent="0.25">
      <c r="Q252" s="16"/>
    </row>
    <row r="253" spans="17:17" x14ac:dyDescent="0.25">
      <c r="Q253" s="16"/>
    </row>
    <row r="254" spans="17:17" x14ac:dyDescent="0.25">
      <c r="Q254" s="16"/>
    </row>
    <row r="255" spans="17:17" x14ac:dyDescent="0.25">
      <c r="Q255" s="16"/>
    </row>
    <row r="256" spans="17:17" x14ac:dyDescent="0.25">
      <c r="Q256" s="16"/>
    </row>
    <row r="257" spans="17:17" x14ac:dyDescent="0.25">
      <c r="Q257" s="16"/>
    </row>
    <row r="258" spans="17:17" x14ac:dyDescent="0.25">
      <c r="Q258" s="16"/>
    </row>
    <row r="259" spans="17:17" x14ac:dyDescent="0.25">
      <c r="Q259" s="16"/>
    </row>
    <row r="260" spans="17:17" x14ac:dyDescent="0.25">
      <c r="Q260" s="16"/>
    </row>
    <row r="261" spans="17:17" x14ac:dyDescent="0.25">
      <c r="Q261" s="16"/>
    </row>
    <row r="262" spans="17:17" x14ac:dyDescent="0.25">
      <c r="Q262" s="16"/>
    </row>
    <row r="263" spans="17:17" x14ac:dyDescent="0.25">
      <c r="Q263" s="16"/>
    </row>
    <row r="264" spans="17:17" x14ac:dyDescent="0.25">
      <c r="Q264" s="16"/>
    </row>
    <row r="265" spans="17:17" x14ac:dyDescent="0.25">
      <c r="Q265" s="16"/>
    </row>
    <row r="266" spans="17:17" x14ac:dyDescent="0.25">
      <c r="Q266" s="16"/>
    </row>
    <row r="267" spans="17:17" x14ac:dyDescent="0.25">
      <c r="Q267" s="16"/>
    </row>
    <row r="268" spans="17:17" x14ac:dyDescent="0.25">
      <c r="Q268" s="16"/>
    </row>
    <row r="269" spans="17:17" x14ac:dyDescent="0.25">
      <c r="Q269" s="16"/>
    </row>
    <row r="270" spans="17:17" x14ac:dyDescent="0.25">
      <c r="Q270" s="16"/>
    </row>
    <row r="271" spans="17:17" x14ac:dyDescent="0.25">
      <c r="Q271" s="16"/>
    </row>
    <row r="272" spans="17:17" x14ac:dyDescent="0.25">
      <c r="Q272" s="16"/>
    </row>
    <row r="273" spans="17:17" x14ac:dyDescent="0.25">
      <c r="Q273" s="16"/>
    </row>
    <row r="274" spans="17:17" x14ac:dyDescent="0.25">
      <c r="Q274" s="16"/>
    </row>
    <row r="275" spans="17:17" x14ac:dyDescent="0.25">
      <c r="Q275" s="16"/>
    </row>
    <row r="276" spans="17:17" x14ac:dyDescent="0.25">
      <c r="Q276" s="16"/>
    </row>
    <row r="277" spans="17:17" x14ac:dyDescent="0.25">
      <c r="Q277" s="16"/>
    </row>
    <row r="278" spans="17:17" x14ac:dyDescent="0.25">
      <c r="Q278" s="16"/>
    </row>
    <row r="279" spans="17:17" x14ac:dyDescent="0.25">
      <c r="Q279" s="16"/>
    </row>
    <row r="280" spans="17:17" x14ac:dyDescent="0.25">
      <c r="Q280" s="16"/>
    </row>
    <row r="281" spans="17:17" x14ac:dyDescent="0.25">
      <c r="Q281" s="16"/>
    </row>
    <row r="282" spans="17:17" x14ac:dyDescent="0.25">
      <c r="Q282" s="16"/>
    </row>
    <row r="283" spans="17:17" x14ac:dyDescent="0.25">
      <c r="Q283" s="16"/>
    </row>
    <row r="284" spans="17:17" x14ac:dyDescent="0.25">
      <c r="Q284" s="16"/>
    </row>
    <row r="285" spans="17:17" x14ac:dyDescent="0.25">
      <c r="Q285" s="16"/>
    </row>
    <row r="286" spans="17:17" x14ac:dyDescent="0.25">
      <c r="Q286" s="16"/>
    </row>
    <row r="287" spans="17:17" x14ac:dyDescent="0.25">
      <c r="Q287" s="16"/>
    </row>
    <row r="288" spans="17:17" x14ac:dyDescent="0.25">
      <c r="Q288" s="16"/>
    </row>
    <row r="289" spans="17:17" x14ac:dyDescent="0.25">
      <c r="Q289" s="16"/>
    </row>
    <row r="290" spans="17:17" x14ac:dyDescent="0.25">
      <c r="Q290" s="16"/>
    </row>
    <row r="291" spans="17:17" x14ac:dyDescent="0.25">
      <c r="Q291" s="16"/>
    </row>
    <row r="292" spans="17:17" x14ac:dyDescent="0.25">
      <c r="Q292" s="16"/>
    </row>
    <row r="293" spans="17:17" x14ac:dyDescent="0.25">
      <c r="Q293" s="16"/>
    </row>
    <row r="294" spans="17:17" x14ac:dyDescent="0.25">
      <c r="Q294" s="16"/>
    </row>
    <row r="295" spans="17:17" x14ac:dyDescent="0.25">
      <c r="Q295" s="16"/>
    </row>
    <row r="296" spans="17:17" x14ac:dyDescent="0.25">
      <c r="Q296" s="16"/>
    </row>
    <row r="297" spans="17:17" x14ac:dyDescent="0.25">
      <c r="Q297" s="16"/>
    </row>
    <row r="298" spans="17:17" x14ac:dyDescent="0.25">
      <c r="Q298" s="16"/>
    </row>
    <row r="299" spans="17:17" x14ac:dyDescent="0.25">
      <c r="Q299" s="16"/>
    </row>
    <row r="300" spans="17:17" x14ac:dyDescent="0.25">
      <c r="Q300" s="16"/>
    </row>
    <row r="301" spans="17:17" x14ac:dyDescent="0.25">
      <c r="Q301" s="16"/>
    </row>
    <row r="302" spans="17:17" x14ac:dyDescent="0.25">
      <c r="Q302" s="16"/>
    </row>
    <row r="303" spans="17:17" x14ac:dyDescent="0.25">
      <c r="Q303" s="16"/>
    </row>
    <row r="304" spans="17:17" x14ac:dyDescent="0.25">
      <c r="Q304" s="16"/>
    </row>
    <row r="305" spans="17:17" x14ac:dyDescent="0.25">
      <c r="Q305" s="16"/>
    </row>
    <row r="306" spans="17:17" x14ac:dyDescent="0.25">
      <c r="Q306" s="16"/>
    </row>
    <row r="307" spans="17:17" x14ac:dyDescent="0.25">
      <c r="Q307" s="16"/>
    </row>
    <row r="308" spans="17:17" x14ac:dyDescent="0.25">
      <c r="Q308" s="16"/>
    </row>
    <row r="309" spans="17:17" x14ac:dyDescent="0.25">
      <c r="Q309" s="16"/>
    </row>
    <row r="310" spans="17:17" x14ac:dyDescent="0.25">
      <c r="Q310" s="16"/>
    </row>
    <row r="311" spans="17:17" x14ac:dyDescent="0.25">
      <c r="Q311" s="16"/>
    </row>
    <row r="312" spans="17:17" x14ac:dyDescent="0.25">
      <c r="Q312" s="16"/>
    </row>
    <row r="313" spans="17:17" x14ac:dyDescent="0.25">
      <c r="Q313" s="16"/>
    </row>
    <row r="314" spans="17:17" x14ac:dyDescent="0.25">
      <c r="Q314" s="16"/>
    </row>
    <row r="315" spans="17:17" x14ac:dyDescent="0.25">
      <c r="Q315" s="16"/>
    </row>
    <row r="316" spans="17:17" x14ac:dyDescent="0.25">
      <c r="Q316" s="16"/>
    </row>
    <row r="317" spans="17:17" x14ac:dyDescent="0.25">
      <c r="Q317" s="16"/>
    </row>
    <row r="318" spans="17:17" x14ac:dyDescent="0.25">
      <c r="Q318" s="16"/>
    </row>
    <row r="319" spans="17:17" x14ac:dyDescent="0.25">
      <c r="Q319" s="16"/>
    </row>
    <row r="320" spans="17:17" x14ac:dyDescent="0.25">
      <c r="Q320" s="16"/>
    </row>
    <row r="321" spans="17:17" x14ac:dyDescent="0.25">
      <c r="Q321" s="16"/>
    </row>
    <row r="322" spans="17:17" x14ac:dyDescent="0.25">
      <c r="Q322" s="16"/>
    </row>
    <row r="323" spans="17:17" x14ac:dyDescent="0.25">
      <c r="Q323" s="16"/>
    </row>
    <row r="324" spans="17:17" x14ac:dyDescent="0.25">
      <c r="Q324" s="16"/>
    </row>
    <row r="325" spans="17:17" x14ac:dyDescent="0.25">
      <c r="Q325" s="16"/>
    </row>
    <row r="326" spans="17:17" x14ac:dyDescent="0.25">
      <c r="Q326" s="16"/>
    </row>
    <row r="327" spans="17:17" x14ac:dyDescent="0.25">
      <c r="Q327" s="16"/>
    </row>
    <row r="328" spans="17:17" x14ac:dyDescent="0.25">
      <c r="Q328" s="16"/>
    </row>
    <row r="329" spans="17:17" x14ac:dyDescent="0.25">
      <c r="Q329" s="16"/>
    </row>
    <row r="330" spans="17:17" x14ac:dyDescent="0.25">
      <c r="Q330" s="16"/>
    </row>
    <row r="331" spans="17:17" x14ac:dyDescent="0.25">
      <c r="Q331" s="16"/>
    </row>
    <row r="332" spans="17:17" x14ac:dyDescent="0.25">
      <c r="Q332" s="16"/>
    </row>
    <row r="333" spans="17:17" x14ac:dyDescent="0.25">
      <c r="Q333" s="16"/>
    </row>
    <row r="334" spans="17:17" x14ac:dyDescent="0.25">
      <c r="Q334" s="16"/>
    </row>
    <row r="335" spans="17:17" x14ac:dyDescent="0.25">
      <c r="Q335" s="16"/>
    </row>
    <row r="336" spans="17:17" x14ac:dyDescent="0.25">
      <c r="Q336" s="16"/>
    </row>
    <row r="337" spans="17:17" x14ac:dyDescent="0.25">
      <c r="Q337" s="16"/>
    </row>
    <row r="338" spans="17:17" x14ac:dyDescent="0.25">
      <c r="Q338" s="16"/>
    </row>
    <row r="339" spans="17:17" x14ac:dyDescent="0.25">
      <c r="Q339" s="16"/>
    </row>
    <row r="340" spans="17:17" x14ac:dyDescent="0.25">
      <c r="Q340" s="16"/>
    </row>
    <row r="341" spans="17:17" x14ac:dyDescent="0.25">
      <c r="Q341" s="16"/>
    </row>
    <row r="342" spans="17:17" x14ac:dyDescent="0.25">
      <c r="Q342" s="16"/>
    </row>
    <row r="343" spans="17:17" x14ac:dyDescent="0.25">
      <c r="Q343" s="16"/>
    </row>
    <row r="344" spans="17:17" x14ac:dyDescent="0.25">
      <c r="Q344" s="16"/>
    </row>
    <row r="345" spans="17:17" x14ac:dyDescent="0.25">
      <c r="Q345" s="16"/>
    </row>
    <row r="346" spans="17:17" x14ac:dyDescent="0.25">
      <c r="Q346" s="16"/>
    </row>
    <row r="347" spans="17:17" x14ac:dyDescent="0.25">
      <c r="Q347" s="16"/>
    </row>
    <row r="348" spans="17:17" x14ac:dyDescent="0.25">
      <c r="Q348" s="16"/>
    </row>
    <row r="349" spans="17:17" x14ac:dyDescent="0.25">
      <c r="Q349" s="16"/>
    </row>
    <row r="350" spans="17:17" x14ac:dyDescent="0.25">
      <c r="Q350" s="16"/>
    </row>
    <row r="351" spans="17:17" x14ac:dyDescent="0.25">
      <c r="Q351" s="16"/>
    </row>
    <row r="352" spans="17:17" x14ac:dyDescent="0.25">
      <c r="Q352" s="16"/>
    </row>
    <row r="353" spans="17:17" x14ac:dyDescent="0.25">
      <c r="Q353" s="16"/>
    </row>
    <row r="354" spans="17:17" x14ac:dyDescent="0.25">
      <c r="Q354" s="16"/>
    </row>
    <row r="355" spans="17:17" x14ac:dyDescent="0.25">
      <c r="Q355" s="16"/>
    </row>
    <row r="356" spans="17:17" x14ac:dyDescent="0.25">
      <c r="Q356" s="16"/>
    </row>
    <row r="357" spans="17:17" x14ac:dyDescent="0.25">
      <c r="Q357" s="16"/>
    </row>
    <row r="358" spans="17:17" x14ac:dyDescent="0.25">
      <c r="Q358" s="16"/>
    </row>
    <row r="359" spans="17:17" x14ac:dyDescent="0.25">
      <c r="Q359" s="16"/>
    </row>
    <row r="360" spans="17:17" x14ac:dyDescent="0.25">
      <c r="Q360" s="16"/>
    </row>
    <row r="361" spans="17:17" x14ac:dyDescent="0.25">
      <c r="Q361" s="16"/>
    </row>
    <row r="362" spans="17:17" x14ac:dyDescent="0.25">
      <c r="Q362" s="16"/>
    </row>
    <row r="363" spans="17:17" x14ac:dyDescent="0.25">
      <c r="Q363" s="16"/>
    </row>
    <row r="364" spans="17:17" x14ac:dyDescent="0.25">
      <c r="Q364" s="16"/>
    </row>
    <row r="365" spans="17:17" x14ac:dyDescent="0.25">
      <c r="Q365" s="16"/>
    </row>
    <row r="366" spans="17:17" x14ac:dyDescent="0.25">
      <c r="Q366" s="16"/>
    </row>
    <row r="367" spans="17:17" x14ac:dyDescent="0.25">
      <c r="Q367" s="16"/>
    </row>
    <row r="368" spans="17:17" x14ac:dyDescent="0.25">
      <c r="Q368" s="16"/>
    </row>
    <row r="369" spans="17:17" x14ac:dyDescent="0.25">
      <c r="Q369" s="16"/>
    </row>
    <row r="370" spans="17:17" x14ac:dyDescent="0.25">
      <c r="Q370" s="16"/>
    </row>
    <row r="371" spans="17:17" x14ac:dyDescent="0.25">
      <c r="Q371" s="16"/>
    </row>
    <row r="372" spans="17:17" x14ac:dyDescent="0.25">
      <c r="Q372" s="16"/>
    </row>
    <row r="373" spans="17:17" x14ac:dyDescent="0.25">
      <c r="Q373" s="16"/>
    </row>
    <row r="374" spans="17:17" x14ac:dyDescent="0.25">
      <c r="Q374" s="16"/>
    </row>
    <row r="375" spans="17:17" x14ac:dyDescent="0.25">
      <c r="Q375" s="16"/>
    </row>
    <row r="376" spans="17:17" x14ac:dyDescent="0.25">
      <c r="Q376" s="16"/>
    </row>
    <row r="377" spans="17:17" x14ac:dyDescent="0.25">
      <c r="Q377" s="16"/>
    </row>
    <row r="378" spans="17:17" x14ac:dyDescent="0.25">
      <c r="Q378" s="16"/>
    </row>
    <row r="379" spans="17:17" x14ac:dyDescent="0.25">
      <c r="Q379" s="16"/>
    </row>
    <row r="380" spans="17:17" x14ac:dyDescent="0.25">
      <c r="Q380" s="16"/>
    </row>
    <row r="381" spans="17:17" x14ac:dyDescent="0.25">
      <c r="Q381" s="16"/>
    </row>
    <row r="382" spans="17:17" x14ac:dyDescent="0.25">
      <c r="Q382" s="16"/>
    </row>
    <row r="383" spans="17:17" x14ac:dyDescent="0.25">
      <c r="Q383" s="16"/>
    </row>
    <row r="384" spans="17:17" x14ac:dyDescent="0.25">
      <c r="Q384" s="16"/>
    </row>
    <row r="385" spans="17:17" x14ac:dyDescent="0.25">
      <c r="Q385" s="16"/>
    </row>
    <row r="386" spans="17:17" x14ac:dyDescent="0.25">
      <c r="Q386" s="16"/>
    </row>
    <row r="387" spans="17:17" x14ac:dyDescent="0.25">
      <c r="Q387" s="16"/>
    </row>
    <row r="388" spans="17:17" x14ac:dyDescent="0.25">
      <c r="Q388" s="16"/>
    </row>
    <row r="389" spans="17:17" x14ac:dyDescent="0.25">
      <c r="Q389" s="16"/>
    </row>
    <row r="390" spans="17:17" x14ac:dyDescent="0.25">
      <c r="Q390" s="16"/>
    </row>
    <row r="391" spans="17:17" x14ac:dyDescent="0.25">
      <c r="Q391" s="16"/>
    </row>
    <row r="392" spans="17:17" x14ac:dyDescent="0.25">
      <c r="Q392" s="16"/>
    </row>
    <row r="393" spans="17:17" x14ac:dyDescent="0.25">
      <c r="Q393" s="16"/>
    </row>
    <row r="394" spans="17:17" x14ac:dyDescent="0.25">
      <c r="Q394" s="16"/>
    </row>
    <row r="395" spans="17:17" x14ac:dyDescent="0.25">
      <c r="Q395" s="16"/>
    </row>
    <row r="396" spans="17:17" x14ac:dyDescent="0.25">
      <c r="Q396" s="16"/>
    </row>
    <row r="397" spans="17:17" x14ac:dyDescent="0.25">
      <c r="Q397" s="16"/>
    </row>
    <row r="398" spans="17:17" x14ac:dyDescent="0.25">
      <c r="Q398" s="16"/>
    </row>
    <row r="399" spans="17:17" x14ac:dyDescent="0.25">
      <c r="Q399" s="16"/>
    </row>
    <row r="400" spans="17:17" x14ac:dyDescent="0.25">
      <c r="Q400" s="16"/>
    </row>
    <row r="401" spans="17:17" x14ac:dyDescent="0.25">
      <c r="Q401" s="16"/>
    </row>
    <row r="402" spans="17:17" x14ac:dyDescent="0.25">
      <c r="Q402" s="16"/>
    </row>
    <row r="403" spans="17:17" x14ac:dyDescent="0.25">
      <c r="Q403" s="16"/>
    </row>
    <row r="404" spans="17:17" x14ac:dyDescent="0.25">
      <c r="Q404" s="16"/>
    </row>
    <row r="405" spans="17:17" x14ac:dyDescent="0.25">
      <c r="Q405" s="16"/>
    </row>
    <row r="406" spans="17:17" x14ac:dyDescent="0.25">
      <c r="Q406" s="16"/>
    </row>
    <row r="407" spans="17:17" x14ac:dyDescent="0.25">
      <c r="Q407" s="16"/>
    </row>
    <row r="408" spans="17:17" x14ac:dyDescent="0.25">
      <c r="Q408" s="16"/>
    </row>
    <row r="409" spans="17:17" x14ac:dyDescent="0.25">
      <c r="Q409" s="16"/>
    </row>
    <row r="410" spans="17:17" x14ac:dyDescent="0.25">
      <c r="Q410" s="16"/>
    </row>
    <row r="411" spans="17:17" x14ac:dyDescent="0.25">
      <c r="Q411" s="16"/>
    </row>
    <row r="412" spans="17:17" x14ac:dyDescent="0.25">
      <c r="Q412" s="16"/>
    </row>
    <row r="413" spans="17:17" x14ac:dyDescent="0.25">
      <c r="Q413" s="16"/>
    </row>
    <row r="414" spans="17:17" x14ac:dyDescent="0.25">
      <c r="Q414" s="16"/>
    </row>
    <row r="415" spans="17:17" x14ac:dyDescent="0.25">
      <c r="Q415" s="16"/>
    </row>
    <row r="416" spans="17:17" x14ac:dyDescent="0.25">
      <c r="Q416" s="16"/>
    </row>
    <row r="417" spans="17:17" x14ac:dyDescent="0.25">
      <c r="Q417" s="16"/>
    </row>
    <row r="418" spans="17:17" x14ac:dyDescent="0.25">
      <c r="Q418" s="16"/>
    </row>
    <row r="419" spans="17:17" x14ac:dyDescent="0.25">
      <c r="Q419" s="16"/>
    </row>
    <row r="420" spans="17:17" x14ac:dyDescent="0.25">
      <c r="Q420" s="16"/>
    </row>
    <row r="421" spans="17:17" x14ac:dyDescent="0.25">
      <c r="Q421" s="16"/>
    </row>
    <row r="422" spans="17:17" x14ac:dyDescent="0.25">
      <c r="Q422" s="16"/>
    </row>
    <row r="423" spans="17:17" x14ac:dyDescent="0.25">
      <c r="Q423" s="16"/>
    </row>
    <row r="424" spans="17:17" x14ac:dyDescent="0.25">
      <c r="Q424" s="16"/>
    </row>
    <row r="425" spans="17:17" x14ac:dyDescent="0.25">
      <c r="Q425" s="16"/>
    </row>
    <row r="426" spans="17:17" x14ac:dyDescent="0.25">
      <c r="Q426" s="16"/>
    </row>
    <row r="427" spans="17:17" x14ac:dyDescent="0.25">
      <c r="Q427" s="16"/>
    </row>
    <row r="428" spans="17:17" x14ac:dyDescent="0.25">
      <c r="Q428" s="16"/>
    </row>
    <row r="429" spans="17:17" x14ac:dyDescent="0.25">
      <c r="Q429" s="16"/>
    </row>
    <row r="430" spans="17:17" x14ac:dyDescent="0.25">
      <c r="Q430" s="16"/>
    </row>
    <row r="431" spans="17:17" x14ac:dyDescent="0.25">
      <c r="Q431" s="16"/>
    </row>
    <row r="432" spans="17:17" x14ac:dyDescent="0.25">
      <c r="Q432" s="16"/>
    </row>
    <row r="433" spans="17:17" x14ac:dyDescent="0.25">
      <c r="Q433" s="16"/>
    </row>
    <row r="434" spans="17:17" x14ac:dyDescent="0.25">
      <c r="Q434" s="16"/>
    </row>
    <row r="435" spans="17:17" x14ac:dyDescent="0.25">
      <c r="Q435" s="16"/>
    </row>
    <row r="436" spans="17:17" x14ac:dyDescent="0.25">
      <c r="Q436" s="16"/>
    </row>
    <row r="437" spans="17:17" x14ac:dyDescent="0.25">
      <c r="Q437" s="16"/>
    </row>
    <row r="438" spans="17:17" x14ac:dyDescent="0.25">
      <c r="Q438" s="16"/>
    </row>
    <row r="439" spans="17:17" x14ac:dyDescent="0.25">
      <c r="Q439" s="16"/>
    </row>
    <row r="440" spans="17:17" x14ac:dyDescent="0.25">
      <c r="Q440" s="16"/>
    </row>
    <row r="441" spans="17:17" x14ac:dyDescent="0.25">
      <c r="Q441" s="16"/>
    </row>
    <row r="442" spans="17:17" x14ac:dyDescent="0.25">
      <c r="Q442" s="16"/>
    </row>
    <row r="443" spans="17:17" x14ac:dyDescent="0.25">
      <c r="Q443" s="16"/>
    </row>
    <row r="444" spans="17:17" x14ac:dyDescent="0.25">
      <c r="Q444" s="16"/>
    </row>
    <row r="445" spans="17:17" x14ac:dyDescent="0.25">
      <c r="Q445" s="16"/>
    </row>
    <row r="446" spans="17:17" x14ac:dyDescent="0.25">
      <c r="Q446" s="16"/>
    </row>
    <row r="447" spans="17:17" x14ac:dyDescent="0.25">
      <c r="Q447" s="16"/>
    </row>
    <row r="448" spans="17:17" x14ac:dyDescent="0.25">
      <c r="Q448" s="16"/>
    </row>
    <row r="449" spans="17:17" x14ac:dyDescent="0.25">
      <c r="Q449" s="16"/>
    </row>
    <row r="450" spans="17:17" x14ac:dyDescent="0.25">
      <c r="Q450" s="16"/>
    </row>
    <row r="451" spans="17:17" x14ac:dyDescent="0.25">
      <c r="Q451" s="16"/>
    </row>
    <row r="452" spans="17:17" x14ac:dyDescent="0.25">
      <c r="Q452" s="16"/>
    </row>
    <row r="453" spans="17:17" x14ac:dyDescent="0.25">
      <c r="Q453" s="16"/>
    </row>
    <row r="454" spans="17:17" x14ac:dyDescent="0.25">
      <c r="Q454" s="16"/>
    </row>
    <row r="455" spans="17:17" x14ac:dyDescent="0.25">
      <c r="Q455" s="16"/>
    </row>
  </sheetData>
  <customSheetViews>
    <customSheetView guid="{6C0BD6A7-6718-429D-82D9-D2FE0341EA2C}" showPageBreaks="1" printArea="1" view="pageBreakPreview">
      <pane xSplit="3" ySplit="3" topLeftCell="D49" activePane="bottomRight" state="frozen"/>
      <selection pane="bottomRight" activeCell="H96" sqref="H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view="pageBreakPreview">
      <pane xSplit="3" ySplit="3" topLeftCell="E4" activePane="bottomRight" state="frozen"/>
      <selection pane="bottomRight" activeCell="F33" sqref="F33:F38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view="pageBreakPreview">
      <pane xSplit="3" ySplit="3" topLeftCell="D4" activePane="bottomRight" state="frozen"/>
      <selection pane="bottomRight" activeCell="K20" sqref="K20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11">
    <mergeCell ref="D97:F97"/>
    <mergeCell ref="D89:F89"/>
    <mergeCell ref="D5:F5"/>
    <mergeCell ref="D31:F31"/>
    <mergeCell ref="D42:F42"/>
    <mergeCell ref="D11:F11"/>
    <mergeCell ref="D64:F64"/>
    <mergeCell ref="D78:F78"/>
    <mergeCell ref="D54:F54"/>
    <mergeCell ref="D25:F25"/>
    <mergeCell ref="D18:F18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  <rowBreaks count="1" manualBreakCount="1">
    <brk id="6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indexed="13"/>
  </sheetPr>
  <dimension ref="A1:R284"/>
  <sheetViews>
    <sheetView view="pageBreakPreview" zoomScaleSheetLayoutView="100" workbookViewId="0">
      <pane xSplit="3" ySplit="3" topLeftCell="D26" activePane="bottomRight" state="frozen"/>
      <selection pane="topRight" activeCell="D1" sqref="D1"/>
      <selection pane="bottomLeft" activeCell="A4" sqref="A4"/>
      <selection pane="bottomRight" activeCell="H37" sqref="H37:H38"/>
    </sheetView>
  </sheetViews>
  <sheetFormatPr defaultColWidth="9.1796875" defaultRowHeight="10.5" x14ac:dyDescent="0.25"/>
  <cols>
    <col min="1" max="1" width="22.81640625" style="2" customWidth="1"/>
    <col min="2" max="2" width="8.7265625" style="2" bestFit="1" customWidth="1"/>
    <col min="3" max="3" width="4.453125" style="4" bestFit="1" customWidth="1"/>
    <col min="4" max="4" width="8.1796875" style="13" bestFit="1" customWidth="1"/>
    <col min="5" max="5" width="13.1796875" style="2" bestFit="1" customWidth="1"/>
    <col min="6" max="6" width="15.7265625" style="2" customWidth="1"/>
    <col min="7" max="7" width="11.26953125" style="2" bestFit="1" customWidth="1"/>
    <col min="8" max="9" width="13.1796875" style="2" bestFit="1" customWidth="1"/>
    <col min="10" max="10" width="15.7265625" style="2" customWidth="1"/>
    <col min="11" max="11" width="11.26953125" style="2" bestFit="1" customWidth="1"/>
    <col min="12" max="13" width="13.1796875" style="2" bestFit="1" customWidth="1"/>
    <col min="14" max="14" width="11.26953125" style="2" bestFit="1" customWidth="1"/>
    <col min="15" max="15" width="13.1796875" style="2" bestFit="1" customWidth="1"/>
    <col min="16" max="16" width="8.26953125" style="11" customWidth="1"/>
    <col min="17" max="17" width="9.54296875" style="21" bestFit="1" customWidth="1"/>
    <col min="18" max="16384" width="9.1796875" style="2"/>
  </cols>
  <sheetData>
    <row r="1" spans="1:17" x14ac:dyDescent="0.25">
      <c r="A1" s="7" t="s">
        <v>1560</v>
      </c>
      <c r="D1" s="13" t="s">
        <v>20</v>
      </c>
    </row>
    <row r="3" spans="1:17" ht="33" customHeight="1" x14ac:dyDescent="0.25">
      <c r="A3" s="294" t="s">
        <v>1</v>
      </c>
      <c r="B3" s="294" t="s">
        <v>0</v>
      </c>
      <c r="C3" s="295" t="s">
        <v>2</v>
      </c>
      <c r="D3" s="296" t="s">
        <v>3</v>
      </c>
      <c r="E3" s="297" t="s">
        <v>143</v>
      </c>
      <c r="F3" s="297" t="s">
        <v>1450</v>
      </c>
      <c r="G3" s="297" t="s">
        <v>131</v>
      </c>
      <c r="H3" s="297" t="s">
        <v>132</v>
      </c>
      <c r="I3" s="297" t="s">
        <v>137</v>
      </c>
      <c r="J3" s="297" t="s">
        <v>144</v>
      </c>
      <c r="K3" s="297" t="s">
        <v>139</v>
      </c>
      <c r="L3" s="298" t="str">
        <f>+mayor!L3</f>
        <v>INTEREST</v>
      </c>
      <c r="M3" s="299" t="s">
        <v>12</v>
      </c>
      <c r="N3" s="297" t="s">
        <v>136</v>
      </c>
      <c r="O3" s="297" t="s">
        <v>135</v>
      </c>
      <c r="P3" s="300" t="s">
        <v>63</v>
      </c>
      <c r="Q3" s="301" t="s">
        <v>11</v>
      </c>
    </row>
    <row r="4" spans="1:17" ht="14.25" customHeight="1" thickBot="1" x14ac:dyDescent="0.3">
      <c r="E4" s="113"/>
      <c r="F4" s="113"/>
      <c r="G4" s="113"/>
      <c r="H4" s="113"/>
      <c r="I4" s="113"/>
      <c r="J4" s="113"/>
      <c r="K4" s="113"/>
      <c r="L4" s="114"/>
      <c r="M4" s="115"/>
      <c r="N4" s="113"/>
      <c r="O4" s="113"/>
      <c r="P4" s="5"/>
      <c r="Q4" s="38"/>
    </row>
    <row r="5" spans="1:17" ht="11" thickBot="1" x14ac:dyDescent="0.3">
      <c r="A5" s="284" t="s">
        <v>10</v>
      </c>
      <c r="B5" s="285" t="s">
        <v>434</v>
      </c>
      <c r="D5" s="541" t="s">
        <v>210</v>
      </c>
      <c r="E5" s="542"/>
      <c r="F5" s="543"/>
    </row>
    <row r="6" spans="1:17" x14ac:dyDescent="0.25">
      <c r="Q6" s="16"/>
    </row>
    <row r="7" spans="1:17" x14ac:dyDescent="0.25">
      <c r="A7" s="483" t="str">
        <f>+'1-10'!C26</f>
        <v>ISUZU KB200i 2x4 [173]</v>
      </c>
      <c r="B7" s="483" t="str">
        <f>+'1-10'!R26</f>
        <v>CMB 477 L</v>
      </c>
      <c r="C7" s="484">
        <v>625</v>
      </c>
      <c r="D7" s="6">
        <v>15000</v>
      </c>
      <c r="E7" s="520">
        <f>+D7/P7*(CALC!$A$4)</f>
        <v>52848.575712143931</v>
      </c>
      <c r="F7" s="28">
        <v>23400</v>
      </c>
      <c r="G7" s="28">
        <f>CALC!$A$23*(I7/CEM!I$148)</f>
        <v>2176.3023664387702</v>
      </c>
      <c r="H7" s="28">
        <f>58000</f>
        <v>58000</v>
      </c>
      <c r="I7" s="28">
        <v>15393.84</v>
      </c>
      <c r="J7" s="28"/>
      <c r="K7" s="528">
        <f>678*1.06</f>
        <v>718.68000000000006</v>
      </c>
      <c r="L7" s="28"/>
      <c r="M7" s="28">
        <f>SUM(E7:L7)</f>
        <v>152537.39807858269</v>
      </c>
      <c r="N7" s="24">
        <f>M7/CALC!$A$8*CALC!$A$6</f>
        <v>2473.3920775085621</v>
      </c>
      <c r="O7" s="28">
        <f>+M7+N7</f>
        <v>155010.79015609124</v>
      </c>
      <c r="P7" s="37">
        <v>6.67</v>
      </c>
      <c r="Q7" s="38"/>
    </row>
    <row r="8" spans="1:17" x14ac:dyDescent="0.25">
      <c r="A8" s="8"/>
      <c r="B8" s="8"/>
      <c r="C8" s="14"/>
      <c r="D8" s="6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3"/>
      <c r="Q8" s="16"/>
    </row>
    <row r="9" spans="1:17" s="7" customFormat="1" x14ac:dyDescent="0.25">
      <c r="A9" s="3"/>
      <c r="B9" s="3" t="s">
        <v>14</v>
      </c>
      <c r="C9" s="18"/>
      <c r="D9" s="12">
        <f t="shared" ref="D9:L9" si="0">SUM(D7:D8)</f>
        <v>15000</v>
      </c>
      <c r="E9" s="10">
        <f t="shared" si="0"/>
        <v>52848.575712143931</v>
      </c>
      <c r="F9" s="10">
        <f t="shared" si="0"/>
        <v>23400</v>
      </c>
      <c r="G9" s="10">
        <f t="shared" si="0"/>
        <v>2176.3023664387702</v>
      </c>
      <c r="H9" s="10">
        <f t="shared" si="0"/>
        <v>58000</v>
      </c>
      <c r="I9" s="10">
        <f t="shared" si="0"/>
        <v>15393.84</v>
      </c>
      <c r="J9" s="10">
        <f t="shared" si="0"/>
        <v>0</v>
      </c>
      <c r="K9" s="10">
        <f t="shared" si="0"/>
        <v>718.68000000000006</v>
      </c>
      <c r="L9" s="10">
        <f t="shared" si="0"/>
        <v>0</v>
      </c>
      <c r="M9" s="10">
        <f>SUM(M7:M8)</f>
        <v>152537.39807858269</v>
      </c>
      <c r="N9" s="10">
        <f>M9/CALC!$A$8*CALC!$A$6</f>
        <v>2473.3920775085621</v>
      </c>
      <c r="O9" s="10">
        <f>+M9+N9</f>
        <v>155010.79015609124</v>
      </c>
      <c r="P9" s="25"/>
      <c r="Q9" s="111">
        <f>(+O9/D9)*(1+CALC!$A$3)</f>
        <v>10.33405267707275</v>
      </c>
    </row>
    <row r="10" spans="1:17" s="7" customFormat="1" ht="17.25" customHeight="1" thickBot="1" x14ac:dyDescent="0.3">
      <c r="C10" s="29"/>
      <c r="D10" s="30"/>
      <c r="E10" s="72"/>
      <c r="F10" s="72"/>
      <c r="G10" s="72"/>
      <c r="H10" s="72"/>
      <c r="I10" s="72"/>
      <c r="J10" s="72"/>
      <c r="K10" s="72"/>
      <c r="L10" s="72"/>
      <c r="N10" s="72"/>
      <c r="O10" s="72"/>
      <c r="P10" s="17"/>
      <c r="Q10" s="34"/>
    </row>
    <row r="11" spans="1:17" ht="11" thickBot="1" x14ac:dyDescent="0.3">
      <c r="A11" s="284" t="s">
        <v>10</v>
      </c>
      <c r="B11" s="285" t="s">
        <v>435</v>
      </c>
      <c r="D11" s="541" t="s">
        <v>211</v>
      </c>
      <c r="E11" s="542"/>
      <c r="F11" s="543"/>
    </row>
    <row r="12" spans="1:17" x14ac:dyDescent="0.25">
      <c r="Q12" s="16"/>
    </row>
    <row r="13" spans="1:17" x14ac:dyDescent="0.25">
      <c r="A13" s="483" t="str">
        <f>+'1-10'!C57</f>
        <v>NISSAN   UD 40A M02 [173]</v>
      </c>
      <c r="B13" s="483" t="str">
        <f>+'1-10'!R57</f>
        <v>CMJ 501 L</v>
      </c>
      <c r="C13" s="484">
        <v>656</v>
      </c>
      <c r="D13" s="6">
        <v>20000</v>
      </c>
      <c r="E13" s="520">
        <f>+D13/P13*(CALC!$A$4)</f>
        <v>235000</v>
      </c>
      <c r="F13" s="28">
        <v>23400</v>
      </c>
      <c r="G13" s="28">
        <f>CALC!$A$23*(I13/CEM!I$148)</f>
        <v>4113.7151064611571</v>
      </c>
      <c r="H13" s="28">
        <v>40000</v>
      </c>
      <c r="I13" s="28">
        <v>29097.919999999998</v>
      </c>
      <c r="J13" s="28"/>
      <c r="K13" s="528">
        <f>1932*1.06</f>
        <v>2047.92</v>
      </c>
      <c r="L13" s="28"/>
      <c r="M13" s="28">
        <f t="shared" ref="M13:M22" si="1">SUM(E13:L13)</f>
        <v>333659.55510646111</v>
      </c>
      <c r="N13" s="24">
        <f>M13/CALC!$A$8*CALC!$A$6</f>
        <v>5410.2856780092552</v>
      </c>
      <c r="O13" s="28">
        <f t="shared" ref="O13:O22" si="2">+M13+N13</f>
        <v>339069.84078447038</v>
      </c>
      <c r="P13" s="37">
        <v>2</v>
      </c>
      <c r="Q13" s="38"/>
    </row>
    <row r="14" spans="1:17" x14ac:dyDescent="0.25">
      <c r="A14" s="483" t="str">
        <f>+'1-10'!C58</f>
        <v>NISSAN   UD 40A M02 [173]</v>
      </c>
      <c r="B14" s="483" t="str">
        <f>+'1-10'!R58</f>
        <v>CMJ 531 L</v>
      </c>
      <c r="C14" s="484">
        <v>657</v>
      </c>
      <c r="D14" s="6">
        <v>18000</v>
      </c>
      <c r="E14" s="520">
        <f>+D14/P14*(CALC!$A$4)</f>
        <v>211500</v>
      </c>
      <c r="F14" s="28">
        <v>23400</v>
      </c>
      <c r="G14" s="28">
        <f>CALC!$A$23*(I14/CEM!I$148)</f>
        <v>4113.7151064611571</v>
      </c>
      <c r="H14" s="28">
        <v>40000</v>
      </c>
      <c r="I14" s="28">
        <v>29097.919999999998</v>
      </c>
      <c r="J14" s="28"/>
      <c r="K14" s="528">
        <f>1932*1.06</f>
        <v>2047.92</v>
      </c>
      <c r="L14" s="28"/>
      <c r="M14" s="28">
        <f t="shared" si="1"/>
        <v>310159.55510646116</v>
      </c>
      <c r="N14" s="24">
        <f>M14/CALC!$A$8*CALC!$A$6</f>
        <v>5029.2334602999499</v>
      </c>
      <c r="O14" s="28">
        <f t="shared" si="2"/>
        <v>315188.78856676113</v>
      </c>
      <c r="P14" s="37">
        <v>2</v>
      </c>
      <c r="Q14" s="38"/>
    </row>
    <row r="15" spans="1:17" x14ac:dyDescent="0.25">
      <c r="A15" s="483" t="str">
        <f>+'1-10'!C59</f>
        <v>NISSAN   UD 40A M02 [173]</v>
      </c>
      <c r="B15" s="483" t="str">
        <f>+'1-10'!R59</f>
        <v>CMS 102 L</v>
      </c>
      <c r="C15" s="484">
        <v>658</v>
      </c>
      <c r="D15" s="6">
        <v>10000</v>
      </c>
      <c r="E15" s="520">
        <f>+D15/P15*(CALC!$A$4)</f>
        <v>117500</v>
      </c>
      <c r="F15" s="28">
        <v>23400</v>
      </c>
      <c r="G15" s="28">
        <f>CALC!$A$23*(I15/CEM!I$148)</f>
        <v>4113.7151064611571</v>
      </c>
      <c r="H15" s="28">
        <v>40000</v>
      </c>
      <c r="I15" s="28">
        <v>29097.919999999998</v>
      </c>
      <c r="J15" s="28"/>
      <c r="K15" s="528">
        <f>1932*1.06</f>
        <v>2047.92</v>
      </c>
      <c r="L15" s="28"/>
      <c r="M15" s="28">
        <f t="shared" si="1"/>
        <v>216159.55510646119</v>
      </c>
      <c r="N15" s="24">
        <f>M15/CALC!$A$8*CALC!$A$6</f>
        <v>3505.0245894627255</v>
      </c>
      <c r="O15" s="28">
        <f t="shared" si="2"/>
        <v>219664.57969592392</v>
      </c>
      <c r="P15" s="37">
        <v>2</v>
      </c>
      <c r="Q15" s="38"/>
    </row>
    <row r="16" spans="1:17" x14ac:dyDescent="0.25">
      <c r="A16" s="507" t="str">
        <f>+'1-10'!C60</f>
        <v>NISSAN   UD 40A M02 [173]</v>
      </c>
      <c r="B16" s="507" t="str">
        <f>+'1-10'!R60</f>
        <v>CMJ 538 L</v>
      </c>
      <c r="C16" s="508">
        <v>659</v>
      </c>
      <c r="D16" s="6">
        <v>0</v>
      </c>
      <c r="E16" s="48">
        <f>+D16/P16*(CALC!$A$4)</f>
        <v>0</v>
      </c>
      <c r="F16" s="28">
        <v>0</v>
      </c>
      <c r="G16" s="28">
        <f>CALC!$A$23*(I16/CEM!I$148)</f>
        <v>0</v>
      </c>
      <c r="H16" s="28">
        <v>0</v>
      </c>
      <c r="I16" s="481">
        <v>0</v>
      </c>
      <c r="J16" s="28"/>
      <c r="K16" s="28">
        <v>0</v>
      </c>
      <c r="L16" s="28"/>
      <c r="M16" s="28">
        <f t="shared" si="1"/>
        <v>0</v>
      </c>
      <c r="N16" s="24">
        <f>M16/CALC!$A$8*CALC!$A$6</f>
        <v>0</v>
      </c>
      <c r="O16" s="28">
        <f t="shared" si="2"/>
        <v>0</v>
      </c>
      <c r="P16" s="37">
        <v>2</v>
      </c>
      <c r="Q16" s="38"/>
    </row>
    <row r="17" spans="1:17" x14ac:dyDescent="0.25">
      <c r="A17" s="483" t="str">
        <f>+'1-10'!C63</f>
        <v>NISSAN   UD 40A M02 [073]</v>
      </c>
      <c r="B17" s="483" t="str">
        <f>+'1-10'!R63</f>
        <v>CMJ 511 L</v>
      </c>
      <c r="C17" s="484">
        <v>662</v>
      </c>
      <c r="D17" s="6">
        <v>15000</v>
      </c>
      <c r="E17" s="520">
        <f>+D17/P17*(CALC!$A$4)</f>
        <v>176250</v>
      </c>
      <c r="F17" s="28">
        <v>23400</v>
      </c>
      <c r="G17" s="28">
        <f>CALC!$A$23*(I17/CEM!I$148)</f>
        <v>4145.4693194792089</v>
      </c>
      <c r="H17" s="28">
        <v>40000</v>
      </c>
      <c r="I17" s="28">
        <v>29322.53</v>
      </c>
      <c r="J17" s="28"/>
      <c r="K17" s="528">
        <f t="shared" ref="K17:K21" si="3">1932*1.06</f>
        <v>2047.92</v>
      </c>
      <c r="L17" s="28"/>
      <c r="M17" s="28">
        <f t="shared" si="1"/>
        <v>275165.9193194792</v>
      </c>
      <c r="N17" s="24">
        <f>M17/CALC!$A$8*CALC!$A$6</f>
        <v>4461.8120763705365</v>
      </c>
      <c r="O17" s="28">
        <f t="shared" si="2"/>
        <v>279627.73139584973</v>
      </c>
      <c r="P17" s="37">
        <v>2</v>
      </c>
      <c r="Q17" s="38"/>
    </row>
    <row r="18" spans="1:17" x14ac:dyDescent="0.25">
      <c r="A18" s="483" t="str">
        <f>+'1-10'!C64</f>
        <v>NISSAN   UD 40A M02 [173]</v>
      </c>
      <c r="B18" s="483" t="str">
        <f>+'1-10'!R64</f>
        <v>CNN 494 L</v>
      </c>
      <c r="C18" s="484">
        <v>663</v>
      </c>
      <c r="D18" s="6">
        <v>10000</v>
      </c>
      <c r="E18" s="520">
        <f>+D18/P18*(CALC!$A$4)</f>
        <v>117500</v>
      </c>
      <c r="F18" s="28">
        <v>23400</v>
      </c>
      <c r="G18" s="28">
        <f>CALC!$A$23*(I18/CEM!I$148)</f>
        <v>3177.6479562508525</v>
      </c>
      <c r="H18" s="28">
        <v>40000</v>
      </c>
      <c r="I18" s="28">
        <v>22476.75</v>
      </c>
      <c r="J18" s="28"/>
      <c r="K18" s="528">
        <f t="shared" si="3"/>
        <v>2047.92</v>
      </c>
      <c r="L18" s="28"/>
      <c r="M18" s="28">
        <f t="shared" si="1"/>
        <v>208602.31795625086</v>
      </c>
      <c r="N18" s="24">
        <f>M18/CALC!$A$8*CALC!$A$6</f>
        <v>3382.4840798523933</v>
      </c>
      <c r="O18" s="28">
        <f t="shared" si="2"/>
        <v>211984.80203610324</v>
      </c>
      <c r="P18" s="37">
        <v>2</v>
      </c>
      <c r="Q18" s="38"/>
    </row>
    <row r="19" spans="1:17" x14ac:dyDescent="0.25">
      <c r="A19" s="483" t="str">
        <f>+'1-10'!C67</f>
        <v>NISSAN   UD 40A M02 [173]</v>
      </c>
      <c r="B19" s="483" t="str">
        <f>+'1-10'!R67</f>
        <v>CMS 094 L</v>
      </c>
      <c r="C19" s="484">
        <v>666</v>
      </c>
      <c r="D19" s="6">
        <v>25000</v>
      </c>
      <c r="E19" s="520">
        <f>+D19/P19*(CALC!$A$4)</f>
        <v>293750</v>
      </c>
      <c r="F19" s="28">
        <v>23400</v>
      </c>
      <c r="G19" s="28">
        <f>CALC!$A$23*(I19/CEM!I$148)</f>
        <v>4145.4693194792089</v>
      </c>
      <c r="H19" s="28">
        <v>40000</v>
      </c>
      <c r="I19" s="28">
        <v>29322.53</v>
      </c>
      <c r="J19" s="28"/>
      <c r="K19" s="528">
        <f>1932*1.06</f>
        <v>2047.92</v>
      </c>
      <c r="L19" s="28"/>
      <c r="M19" s="28">
        <f t="shared" si="1"/>
        <v>392665.9193194792</v>
      </c>
      <c r="N19" s="24">
        <f>M19/CALC!$A$8*CALC!$A$6</f>
        <v>6367.0731649170675</v>
      </c>
      <c r="O19" s="28">
        <f t="shared" si="2"/>
        <v>399032.99248439627</v>
      </c>
      <c r="P19" s="37">
        <v>2</v>
      </c>
      <c r="Q19" s="38"/>
    </row>
    <row r="20" spans="1:17" x14ac:dyDescent="0.25">
      <c r="A20" s="483" t="str">
        <f>+'1-10'!C71</f>
        <v>NISSAN   UD 40A M02 [173]</v>
      </c>
      <c r="B20" s="483" t="str">
        <f>+'1-10'!R71</f>
        <v>CMY 249 L</v>
      </c>
      <c r="C20" s="484">
        <v>670</v>
      </c>
      <c r="D20" s="6">
        <v>10000</v>
      </c>
      <c r="E20" s="520">
        <f>+D20/P20*(CALC!$A$4)</f>
        <v>117500</v>
      </c>
      <c r="F20" s="28">
        <v>23400</v>
      </c>
      <c r="G20" s="28">
        <f>CALC!$A$23*(I20/CEM!I$148)</f>
        <v>4232.9337198526491</v>
      </c>
      <c r="H20" s="28">
        <v>40000</v>
      </c>
      <c r="I20" s="28">
        <v>29941.200000000001</v>
      </c>
      <c r="J20" s="28"/>
      <c r="K20" s="528">
        <f t="shared" si="3"/>
        <v>2047.92</v>
      </c>
      <c r="L20" s="28"/>
      <c r="M20" s="28">
        <f t="shared" si="1"/>
        <v>217122.05371985267</v>
      </c>
      <c r="N20" s="24">
        <f>M20/CALC!$A$8*CALC!$A$6</f>
        <v>3520.6314929169789</v>
      </c>
      <c r="O20" s="28">
        <f t="shared" si="2"/>
        <v>220642.68521276966</v>
      </c>
      <c r="P20" s="37">
        <v>2</v>
      </c>
      <c r="Q20" s="38"/>
    </row>
    <row r="21" spans="1:17" x14ac:dyDescent="0.25">
      <c r="A21" s="483" t="str">
        <f>+'1-10'!C72</f>
        <v>NISSAN   UD 40A M02 [173]</v>
      </c>
      <c r="B21" s="483" t="str">
        <f>+'1-10'!R72</f>
        <v>CNV 683 L</v>
      </c>
      <c r="C21" s="484">
        <v>671</v>
      </c>
      <c r="D21" s="6">
        <v>10000</v>
      </c>
      <c r="E21" s="520">
        <f>+D21/P21*(CALC!$A$4)</f>
        <v>117500</v>
      </c>
      <c r="F21" s="28">
        <v>23400</v>
      </c>
      <c r="G21" s="28">
        <f>CALC!$A$23*(I21/CEM!I$148)</f>
        <v>3177.6479562508525</v>
      </c>
      <c r="H21" s="28">
        <v>40000</v>
      </c>
      <c r="I21" s="28">
        <v>22476.75</v>
      </c>
      <c r="J21" s="28"/>
      <c r="K21" s="528">
        <f t="shared" si="3"/>
        <v>2047.92</v>
      </c>
      <c r="L21" s="28"/>
      <c r="M21" s="28">
        <f t="shared" si="1"/>
        <v>208602.31795625086</v>
      </c>
      <c r="N21" s="24">
        <f>M21/CALC!$A$8*CALC!$A$6</f>
        <v>3382.4840798523933</v>
      </c>
      <c r="O21" s="28">
        <f t="shared" si="2"/>
        <v>211984.80203610324</v>
      </c>
      <c r="P21" s="37">
        <v>2</v>
      </c>
      <c r="Q21" s="38"/>
    </row>
    <row r="22" spans="1:17" x14ac:dyDescent="0.25">
      <c r="A22" s="483" t="str">
        <f>+'1-10'!C73</f>
        <v>NISSAN   UD 40A M02 [173]</v>
      </c>
      <c r="B22" s="483" t="str">
        <f>+'1-10'!R73</f>
        <v>CNN 483 L</v>
      </c>
      <c r="C22" s="484">
        <v>672</v>
      </c>
      <c r="D22" s="6">
        <v>10000</v>
      </c>
      <c r="E22" s="520">
        <f>+D22/P22*(CALC!$A$4)</f>
        <v>117500</v>
      </c>
      <c r="F22" s="28">
        <v>23400</v>
      </c>
      <c r="G22" s="28">
        <f>CALC!$A$23*(I22/CEM!I$148)</f>
        <v>3177.6479562508525</v>
      </c>
      <c r="H22" s="28">
        <v>40000</v>
      </c>
      <c r="I22" s="28">
        <v>22476.75</v>
      </c>
      <c r="J22" s="28"/>
      <c r="K22" s="528">
        <f>1932*1.06</f>
        <v>2047.92</v>
      </c>
      <c r="L22" s="28"/>
      <c r="M22" s="28">
        <f t="shared" si="1"/>
        <v>208602.31795625086</v>
      </c>
      <c r="N22" s="24">
        <f>M22/CALC!$A$8*CALC!$A$6</f>
        <v>3382.4840798523933</v>
      </c>
      <c r="O22" s="28">
        <f t="shared" si="2"/>
        <v>211984.80203610324</v>
      </c>
      <c r="P22" s="37">
        <v>2</v>
      </c>
      <c r="Q22" s="38"/>
    </row>
    <row r="23" spans="1:17" x14ac:dyDescent="0.25">
      <c r="A23" s="8"/>
      <c r="B23" s="8"/>
      <c r="C23" s="14"/>
      <c r="D23" s="6"/>
      <c r="E23" s="48"/>
      <c r="F23" s="28"/>
      <c r="G23" s="28"/>
      <c r="H23" s="28"/>
      <c r="I23" s="28"/>
      <c r="J23" s="28"/>
      <c r="K23" s="28"/>
      <c r="L23" s="28"/>
      <c r="M23" s="28"/>
      <c r="N23" s="24"/>
      <c r="O23" s="28"/>
      <c r="P23" s="37"/>
      <c r="Q23" s="38"/>
    </row>
    <row r="24" spans="1:17" s="7" customFormat="1" x14ac:dyDescent="0.25">
      <c r="A24" s="3"/>
      <c r="B24" s="3" t="s">
        <v>14</v>
      </c>
      <c r="C24" s="18"/>
      <c r="D24" s="12">
        <f t="shared" ref="D24:M24" si="4">SUM(D13:D23)</f>
        <v>128000</v>
      </c>
      <c r="E24" s="10">
        <f t="shared" si="4"/>
        <v>1504000</v>
      </c>
      <c r="F24" s="10">
        <f t="shared" si="4"/>
        <v>210600</v>
      </c>
      <c r="G24" s="10">
        <f t="shared" si="4"/>
        <v>34397.961546947095</v>
      </c>
      <c r="H24" s="10">
        <f t="shared" si="4"/>
        <v>360000</v>
      </c>
      <c r="I24" s="10">
        <f t="shared" si="4"/>
        <v>243310.27</v>
      </c>
      <c r="J24" s="10">
        <f t="shared" si="4"/>
        <v>0</v>
      </c>
      <c r="K24" s="10">
        <f t="shared" si="4"/>
        <v>18431.28</v>
      </c>
      <c r="L24" s="10">
        <f t="shared" si="4"/>
        <v>0</v>
      </c>
      <c r="M24" s="10">
        <f t="shared" si="4"/>
        <v>2370739.5115469471</v>
      </c>
      <c r="N24" s="10">
        <f>M24/CALC!$A$8*CALC!$A$6</f>
        <v>38441.512701533698</v>
      </c>
      <c r="O24" s="10">
        <f>+M24+N24</f>
        <v>2409181.0242484808</v>
      </c>
      <c r="P24" s="25"/>
      <c r="Q24" s="111">
        <f>(+O24/D24)*(1+CALC!$A$3)</f>
        <v>18.821726751941256</v>
      </c>
    </row>
    <row r="26" spans="1:17" ht="11" thickBot="1" x14ac:dyDescent="0.3"/>
    <row r="27" spans="1:17" ht="11" thickBot="1" x14ac:dyDescent="0.3">
      <c r="A27" s="284" t="s">
        <v>10</v>
      </c>
      <c r="B27" s="285" t="s">
        <v>436</v>
      </c>
      <c r="D27" s="541" t="s">
        <v>212</v>
      </c>
      <c r="E27" s="542"/>
      <c r="F27" s="543"/>
    </row>
    <row r="28" spans="1:17" x14ac:dyDescent="0.25">
      <c r="Q28" s="16"/>
    </row>
    <row r="29" spans="1:17" s="478" customFormat="1" x14ac:dyDescent="0.25">
      <c r="A29" s="516" t="str">
        <f>+'1-10'!C29</f>
        <v>NISSAN NP 300 4X4 [173]</v>
      </c>
      <c r="B29" s="516" t="str">
        <f>+'1-10'!R29</f>
        <v>CLW 529 L</v>
      </c>
      <c r="C29" s="517" t="s">
        <v>282</v>
      </c>
      <c r="D29" s="474">
        <v>10000</v>
      </c>
      <c r="E29" s="521">
        <f>+D29/P29*(CALC!$A$4)</f>
        <v>25852.585258525851</v>
      </c>
      <c r="F29" s="475">
        <v>23400</v>
      </c>
      <c r="G29" s="28">
        <f>CALC!$A$23*(I29/CEM!I$148)</f>
        <v>3375.7905131865223</v>
      </c>
      <c r="H29" s="475">
        <f>8000*(1+CALC!$A$2)</f>
        <v>6200</v>
      </c>
      <c r="I29" s="475">
        <v>23878.29</v>
      </c>
      <c r="J29" s="475"/>
      <c r="K29" s="529">
        <f>678*1.06</f>
        <v>718.68000000000006</v>
      </c>
      <c r="L29" s="475"/>
      <c r="M29" s="475">
        <f t="shared" ref="M29:M47" si="5">SUM(E29:L29)</f>
        <v>83425.345771712367</v>
      </c>
      <c r="N29" s="475">
        <f>M29/CALC!$A$8*CALC!$A$6</f>
        <v>1352.7409795522001</v>
      </c>
      <c r="O29" s="475">
        <f t="shared" ref="O29:O47" si="6">+M29+N29</f>
        <v>84778.086751264564</v>
      </c>
      <c r="P29" s="476">
        <v>9.09</v>
      </c>
      <c r="Q29" s="477"/>
    </row>
    <row r="30" spans="1:17" x14ac:dyDescent="0.25">
      <c r="A30" s="512" t="str">
        <f>+'1-10'!C30</f>
        <v>NISSAN NP 300 4X4 [173]</v>
      </c>
      <c r="B30" s="512" t="str">
        <f>+'1-10'!R30</f>
        <v>CLW 557 L</v>
      </c>
      <c r="C30" s="513" t="s">
        <v>213</v>
      </c>
      <c r="D30" s="6">
        <v>0</v>
      </c>
      <c r="E30" s="48">
        <f>+D30/P30*(CALC!$A$4)</f>
        <v>0</v>
      </c>
      <c r="F30" s="28">
        <v>0</v>
      </c>
      <c r="G30" s="28">
        <f>CALC!$A$23*(I30/CEM!I$148)</f>
        <v>0</v>
      </c>
      <c r="H30" s="28">
        <v>0</v>
      </c>
      <c r="I30" s="28">
        <v>0</v>
      </c>
      <c r="J30" s="28"/>
      <c r="K30" s="28">
        <v>0</v>
      </c>
      <c r="L30" s="28"/>
      <c r="M30" s="28">
        <f t="shared" si="5"/>
        <v>0</v>
      </c>
      <c r="N30" s="28">
        <f>M30/CALC!$A$8*CALC!$A$6</f>
        <v>0</v>
      </c>
      <c r="O30" s="28">
        <f t="shared" si="6"/>
        <v>0</v>
      </c>
      <c r="P30" s="37">
        <v>9.09</v>
      </c>
      <c r="Q30" s="38"/>
    </row>
    <row r="31" spans="1:17" x14ac:dyDescent="0.25">
      <c r="A31" s="491" t="str">
        <f>+'1-10'!C31</f>
        <v>NISSAN NP 300 4X4 [173]</v>
      </c>
      <c r="B31" s="491" t="str">
        <f>+'1-10'!R31</f>
        <v>CLW 563 L</v>
      </c>
      <c r="C31" s="492" t="s">
        <v>214</v>
      </c>
      <c r="D31" s="6">
        <v>40000</v>
      </c>
      <c r="E31" s="520">
        <f>+D31/P31*(CALC!$A$4)</f>
        <v>103410.3410341034</v>
      </c>
      <c r="F31" s="28">
        <v>23400</v>
      </c>
      <c r="G31" s="28">
        <f>CALC!$A$23*(I31/CEM!I$148)</f>
        <v>3382.8422924721303</v>
      </c>
      <c r="H31" s="28">
        <f>58000</f>
        <v>58000</v>
      </c>
      <c r="I31" s="28">
        <v>23928.17</v>
      </c>
      <c r="J31" s="28"/>
      <c r="K31" s="529">
        <f t="shared" ref="K31:K38" si="7">678*1.06</f>
        <v>718.68000000000006</v>
      </c>
      <c r="L31" s="28"/>
      <c r="M31" s="28">
        <f t="shared" si="5"/>
        <v>212840.03332657553</v>
      </c>
      <c r="N31" s="28">
        <f>M31/CALC!$A$8*CALC!$A$6</f>
        <v>3451.1985836772033</v>
      </c>
      <c r="O31" s="28">
        <f t="shared" si="6"/>
        <v>216291.23191025274</v>
      </c>
      <c r="P31" s="37">
        <v>9.09</v>
      </c>
      <c r="Q31" s="38"/>
    </row>
    <row r="32" spans="1:17" s="478" customFormat="1" x14ac:dyDescent="0.25">
      <c r="A32" s="495" t="str">
        <f>+'1-10'!C32</f>
        <v>NISSAN NP 300 4X4 [173]</v>
      </c>
      <c r="B32" s="495" t="str">
        <f>+'1-10'!R32</f>
        <v>CLW 565 L</v>
      </c>
      <c r="C32" s="496" t="s">
        <v>215</v>
      </c>
      <c r="D32" s="474">
        <v>10000</v>
      </c>
      <c r="E32" s="521">
        <f>+D32/P32*(CALC!$A$4)</f>
        <v>25852.585258525851</v>
      </c>
      <c r="F32" s="28">
        <v>23400</v>
      </c>
      <c r="G32" s="28">
        <f>CALC!$A$23*(I32/CEM!I$148)</f>
        <v>3382.8422924721303</v>
      </c>
      <c r="H32" s="475">
        <f>8000*(1+CALC!$A$2)</f>
        <v>6200</v>
      </c>
      <c r="I32" s="475">
        <v>23928.17</v>
      </c>
      <c r="J32" s="475"/>
      <c r="K32" s="529">
        <f t="shared" si="7"/>
        <v>718.68000000000006</v>
      </c>
      <c r="L32" s="475"/>
      <c r="M32" s="475">
        <f t="shared" si="5"/>
        <v>83482.277550997969</v>
      </c>
      <c r="N32" s="475">
        <f>M32/CALC!$A$8*CALC!$A$6</f>
        <v>1353.6641276694304</v>
      </c>
      <c r="O32" s="475">
        <f t="shared" si="6"/>
        <v>84835.941678667397</v>
      </c>
      <c r="P32" s="476">
        <v>9.09</v>
      </c>
      <c r="Q32" s="477"/>
    </row>
    <row r="33" spans="1:17" s="478" customFormat="1" x14ac:dyDescent="0.25">
      <c r="A33" s="510" t="str">
        <f>+'1-10'!C33</f>
        <v>NISSAN NP 300 4X4 [173]</v>
      </c>
      <c r="B33" s="510" t="s">
        <v>1463</v>
      </c>
      <c r="C33" s="511"/>
      <c r="D33" s="474">
        <v>25000</v>
      </c>
      <c r="E33" s="521">
        <f>+D33/P33*(CALC!$A$4)</f>
        <v>64631.463146314629</v>
      </c>
      <c r="F33" s="28">
        <v>23400</v>
      </c>
      <c r="G33" s="28">
        <f>CALC!$A$23*(I33/CEM!I$148)</f>
        <v>0</v>
      </c>
      <c r="H33" s="475">
        <v>10000</v>
      </c>
      <c r="I33" s="475">
        <v>0</v>
      </c>
      <c r="J33" s="475"/>
      <c r="K33" s="529">
        <f t="shared" si="7"/>
        <v>718.68000000000006</v>
      </c>
      <c r="L33" s="475"/>
      <c r="M33" s="475">
        <f t="shared" si="5"/>
        <v>98750.143146314629</v>
      </c>
      <c r="N33" s="475">
        <f>M33/CALC!$A$8*CALC!$A$6</f>
        <v>1601.2323848942403</v>
      </c>
      <c r="O33" s="475">
        <f t="shared" si="6"/>
        <v>100351.37553120888</v>
      </c>
      <c r="P33" s="476">
        <v>9.09</v>
      </c>
      <c r="Q33" s="477"/>
    </row>
    <row r="34" spans="1:17" s="478" customFormat="1" x14ac:dyDescent="0.25">
      <c r="A34" s="510" t="str">
        <f>+'1-10'!C34</f>
        <v>NISSAN NP 300 4X4 [173]</v>
      </c>
      <c r="B34" s="510" t="s">
        <v>1464</v>
      </c>
      <c r="C34" s="511"/>
      <c r="D34" s="474">
        <v>25000</v>
      </c>
      <c r="E34" s="521">
        <f>+D34/P34*(CALC!$A$4)</f>
        <v>64631.463146314629</v>
      </c>
      <c r="F34" s="28">
        <v>23400</v>
      </c>
      <c r="G34" s="28">
        <f>CALC!$A$23*(I34/CEM!I$148)</f>
        <v>0</v>
      </c>
      <c r="H34" s="475">
        <v>10000</v>
      </c>
      <c r="I34" s="475">
        <v>0</v>
      </c>
      <c r="J34" s="475"/>
      <c r="K34" s="529">
        <f t="shared" si="7"/>
        <v>718.68000000000006</v>
      </c>
      <c r="L34" s="475"/>
      <c r="M34" s="475">
        <f t="shared" si="5"/>
        <v>98750.143146314629</v>
      </c>
      <c r="N34" s="475">
        <f>M34/CALC!$A$8*CALC!$A$6</f>
        <v>1601.2323848942403</v>
      </c>
      <c r="O34" s="475">
        <f t="shared" si="6"/>
        <v>100351.37553120888</v>
      </c>
      <c r="P34" s="476">
        <v>9.09</v>
      </c>
      <c r="Q34" s="477"/>
    </row>
    <row r="35" spans="1:17" x14ac:dyDescent="0.25">
      <c r="A35" s="512" t="str">
        <f>+'1-10'!C35</f>
        <v>NISSAN NP 300 4X4 [173]</v>
      </c>
      <c r="B35" s="512" t="s">
        <v>1465</v>
      </c>
      <c r="C35" s="513"/>
      <c r="D35" s="474">
        <v>25000</v>
      </c>
      <c r="E35" s="520">
        <f>+D35/P35*(CALC!$A$4)</f>
        <v>64631.463146314629</v>
      </c>
      <c r="F35" s="28">
        <v>23400</v>
      </c>
      <c r="G35" s="28">
        <f>CALC!$A$23*(I35/CEM!I$148)</f>
        <v>0</v>
      </c>
      <c r="H35" s="475">
        <v>10000</v>
      </c>
      <c r="I35" s="28">
        <v>0</v>
      </c>
      <c r="J35" s="28"/>
      <c r="K35" s="529">
        <f t="shared" si="7"/>
        <v>718.68000000000006</v>
      </c>
      <c r="L35" s="28"/>
      <c r="M35" s="28">
        <f t="shared" si="5"/>
        <v>98750.143146314629</v>
      </c>
      <c r="N35" s="28">
        <f>M35/CALC!$A$8*CALC!$A$6</f>
        <v>1601.2323848942403</v>
      </c>
      <c r="O35" s="28">
        <f t="shared" si="6"/>
        <v>100351.37553120888</v>
      </c>
      <c r="P35" s="37">
        <v>9.09</v>
      </c>
      <c r="Q35" s="38"/>
    </row>
    <row r="36" spans="1:17" s="478" customFormat="1" x14ac:dyDescent="0.25">
      <c r="A36" s="535" t="str">
        <f>+'1-10'!C36</f>
        <v>NISSAN NP 300 4X4 [173]</v>
      </c>
      <c r="B36" s="535" t="s">
        <v>1466</v>
      </c>
      <c r="C36" s="511"/>
      <c r="D36" s="474">
        <v>25000</v>
      </c>
      <c r="E36" s="521">
        <f>+D36/P36*(CALC!$A$4)</f>
        <v>64631.463146314629</v>
      </c>
      <c r="F36" s="28">
        <v>23400</v>
      </c>
      <c r="G36" s="28">
        <f>CALC!$A$23*(I36/CEM!I$148)</f>
        <v>0</v>
      </c>
      <c r="H36" s="475">
        <v>10000</v>
      </c>
      <c r="I36" s="475">
        <v>0</v>
      </c>
      <c r="J36" s="475"/>
      <c r="K36" s="529">
        <f t="shared" si="7"/>
        <v>718.68000000000006</v>
      </c>
      <c r="L36" s="475"/>
      <c r="M36" s="475">
        <f t="shared" si="5"/>
        <v>98750.143146314629</v>
      </c>
      <c r="N36" s="475">
        <f>M36/CALC!$A$8*CALC!$A$6</f>
        <v>1601.2323848942403</v>
      </c>
      <c r="O36" s="475">
        <f t="shared" si="6"/>
        <v>100351.37553120888</v>
      </c>
      <c r="P36" s="476">
        <v>9.09</v>
      </c>
      <c r="Q36" s="477"/>
    </row>
    <row r="37" spans="1:17" s="478" customFormat="1" ht="12.5" x14ac:dyDescent="0.25">
      <c r="A37" s="510" t="s">
        <v>1564</v>
      </c>
      <c r="B37" s="548" t="s">
        <v>1565</v>
      </c>
      <c r="C37" s="511"/>
      <c r="D37" s="497">
        <v>25000</v>
      </c>
      <c r="E37" s="521">
        <f>+D37/P37*(CALC!$A$4)</f>
        <v>64631.463146314629</v>
      </c>
      <c r="F37" s="28">
        <v>23400</v>
      </c>
      <c r="G37" s="28">
        <f>CALC!$A$23*(I37/CEM!I$148)</f>
        <v>0</v>
      </c>
      <c r="H37" s="475">
        <v>30000</v>
      </c>
      <c r="I37" s="475">
        <v>0</v>
      </c>
      <c r="J37" s="475"/>
      <c r="K37" s="529">
        <f t="shared" si="7"/>
        <v>718.68000000000006</v>
      </c>
      <c r="L37" s="475"/>
      <c r="M37" s="475">
        <f t="shared" si="5"/>
        <v>118750.14314631463</v>
      </c>
      <c r="N37" s="475">
        <f>M37/CALC!$A$8*CALC!$A$6</f>
        <v>1925.5321446468413</v>
      </c>
      <c r="O37" s="475">
        <f t="shared" si="6"/>
        <v>120675.67529096147</v>
      </c>
      <c r="P37" s="476">
        <v>9.09</v>
      </c>
      <c r="Q37" s="477"/>
    </row>
    <row r="38" spans="1:17" ht="12.5" x14ac:dyDescent="0.25">
      <c r="A38" s="512" t="s">
        <v>1564</v>
      </c>
      <c r="B38" s="548" t="s">
        <v>1566</v>
      </c>
      <c r="C38" s="513"/>
      <c r="D38" s="509">
        <v>25000</v>
      </c>
      <c r="E38" s="48">
        <f>+D38/P38*(CALC!$A$4)</f>
        <v>64631.463146314629</v>
      </c>
      <c r="F38" s="28">
        <v>23400</v>
      </c>
      <c r="G38" s="28">
        <f>CALC!$A$23*(I38/CEM!I$148)</f>
        <v>0</v>
      </c>
      <c r="H38" s="475">
        <v>30000</v>
      </c>
      <c r="I38" s="28">
        <v>0</v>
      </c>
      <c r="J38" s="28"/>
      <c r="K38" s="529">
        <f t="shared" si="7"/>
        <v>718.68000000000006</v>
      </c>
      <c r="L38" s="28"/>
      <c r="M38" s="28">
        <f t="shared" si="5"/>
        <v>118750.14314631463</v>
      </c>
      <c r="N38" s="28">
        <f>M38/CALC!$A$8*CALC!$A$6</f>
        <v>1925.5321446468413</v>
      </c>
      <c r="O38" s="28">
        <f t="shared" si="6"/>
        <v>120675.67529096147</v>
      </c>
      <c r="P38" s="37">
        <v>9.09</v>
      </c>
      <c r="Q38" s="38"/>
    </row>
    <row r="39" spans="1:17" x14ac:dyDescent="0.25">
      <c r="A39" s="491" t="str">
        <f>+'1-10'!C39</f>
        <v>NISSAN NP 300 4X4 [173]</v>
      </c>
      <c r="B39" s="491" t="str">
        <f>+'1-10'!R39</f>
        <v>CLW 840 L</v>
      </c>
      <c r="C39" s="492" t="s">
        <v>222</v>
      </c>
      <c r="D39" s="6">
        <v>20000</v>
      </c>
      <c r="E39" s="48">
        <f>+D39/P39*(CALC!$A$4)</f>
        <v>51705.170517051702</v>
      </c>
      <c r="F39" s="28">
        <v>23400</v>
      </c>
      <c r="G39" s="28">
        <f>CALC!$A$23*(I39/CEM!I$148)</f>
        <v>3379.323471573598</v>
      </c>
      <c r="H39" s="28">
        <f>58000</f>
        <v>58000</v>
      </c>
      <c r="I39" s="28">
        <v>23903.279999999999</v>
      </c>
      <c r="J39" s="28"/>
      <c r="K39" s="529">
        <f t="shared" ref="K39:K40" si="8">678*1.06</f>
        <v>718.68000000000006</v>
      </c>
      <c r="L39" s="28"/>
      <c r="M39" s="28">
        <f t="shared" si="5"/>
        <v>161106.45398862529</v>
      </c>
      <c r="N39" s="28">
        <f>M39/CALC!$A$8*CALC!$A$6</f>
        <v>2612.3392161552333</v>
      </c>
      <c r="O39" s="28">
        <f t="shared" si="6"/>
        <v>163718.79320478052</v>
      </c>
      <c r="P39" s="37">
        <v>9.09</v>
      </c>
      <c r="Q39" s="38"/>
    </row>
    <row r="40" spans="1:17" x14ac:dyDescent="0.25">
      <c r="A40" s="491" t="str">
        <f>+'1-10'!C40</f>
        <v>NISSAN NP 300 4X4 [173]</v>
      </c>
      <c r="B40" s="491" t="str">
        <f>+'1-10'!R40</f>
        <v>CLW 864 L</v>
      </c>
      <c r="C40" s="492" t="s">
        <v>223</v>
      </c>
      <c r="D40" s="6">
        <v>40000</v>
      </c>
      <c r="E40" s="520">
        <f>+D40/P40*(CALC!$A$4)</f>
        <v>103410.3410341034</v>
      </c>
      <c r="F40" s="28">
        <v>23400</v>
      </c>
      <c r="G40" s="28">
        <f>CALC!$A$23*(I40/CEM!I$148)</f>
        <v>3382.8422924721303</v>
      </c>
      <c r="H40" s="28">
        <f>58000</f>
        <v>58000</v>
      </c>
      <c r="I40" s="28">
        <v>23928.17</v>
      </c>
      <c r="J40" s="28"/>
      <c r="K40" s="529">
        <f t="shared" si="8"/>
        <v>718.68000000000006</v>
      </c>
      <c r="L40" s="28"/>
      <c r="M40" s="28">
        <f t="shared" si="5"/>
        <v>212840.03332657553</v>
      </c>
      <c r="N40" s="28">
        <f>M40/CALC!$A$8*CALC!$A$6</f>
        <v>3451.1985836772033</v>
      </c>
      <c r="O40" s="28">
        <f t="shared" si="6"/>
        <v>216291.23191025274</v>
      </c>
      <c r="P40" s="37">
        <v>9.09</v>
      </c>
      <c r="Q40" s="38"/>
    </row>
    <row r="41" spans="1:17" x14ac:dyDescent="0.25">
      <c r="A41" s="514" t="s">
        <v>1453</v>
      </c>
      <c r="B41" s="512" t="str">
        <f>'1-10'!R35</f>
        <v>CLW 860 L</v>
      </c>
      <c r="C41" s="513" t="s">
        <v>218</v>
      </c>
      <c r="D41" s="6">
        <v>0</v>
      </c>
      <c r="E41" s="48">
        <f>+D41/P41*(CALC!$A$4)</f>
        <v>0</v>
      </c>
      <c r="F41" s="28">
        <v>0</v>
      </c>
      <c r="G41" s="28">
        <f>CALC!$A$23*(I41/CEM!I$148)</f>
        <v>0</v>
      </c>
      <c r="H41" s="28">
        <v>0</v>
      </c>
      <c r="I41" s="28">
        <v>0</v>
      </c>
      <c r="J41" s="28"/>
      <c r="K41" s="539">
        <v>0</v>
      </c>
      <c r="L41" s="28"/>
      <c r="M41" s="28">
        <f t="shared" si="5"/>
        <v>0</v>
      </c>
      <c r="N41" s="28">
        <f>M41/CALC!$A$8*CALC!$A$6</f>
        <v>0</v>
      </c>
      <c r="O41" s="28">
        <f t="shared" si="6"/>
        <v>0</v>
      </c>
      <c r="P41" s="37">
        <v>9.09</v>
      </c>
      <c r="Q41" s="38"/>
    </row>
    <row r="42" spans="1:17" x14ac:dyDescent="0.25">
      <c r="A42" s="514" t="s">
        <v>1453</v>
      </c>
      <c r="B42" s="514" t="s">
        <v>1454</v>
      </c>
      <c r="C42" s="515"/>
      <c r="D42" s="6">
        <v>40000</v>
      </c>
      <c r="E42" s="520">
        <f>+D42/P42*(CALC!$A$4)</f>
        <v>103410.3410341034</v>
      </c>
      <c r="F42" s="526">
        <v>23400</v>
      </c>
      <c r="G42" s="28">
        <f>CALC!$A$23*(I42/CEM!I$148)</f>
        <v>14137.488543721191</v>
      </c>
      <c r="H42" s="28">
        <v>20000</v>
      </c>
      <c r="I42" s="28">
        <v>100000</v>
      </c>
      <c r="J42" s="28"/>
      <c r="K42" s="529">
        <f t="shared" ref="K42:K43" si="9">678*1.06</f>
        <v>718.68000000000006</v>
      </c>
      <c r="L42" s="28"/>
      <c r="M42" s="28">
        <f t="shared" ref="M42:M46" si="10">SUM(E42:L42)</f>
        <v>261666.50957782459</v>
      </c>
      <c r="N42" s="28">
        <f>M42/CALC!$A$8*CALC!$A$6</f>
        <v>4242.9193095695109</v>
      </c>
      <c r="O42" s="28">
        <f t="shared" ref="O42:O46" si="11">+M42+N42</f>
        <v>265909.42888739408</v>
      </c>
      <c r="P42" s="37">
        <v>9.09</v>
      </c>
      <c r="Q42" s="38"/>
    </row>
    <row r="43" spans="1:17" x14ac:dyDescent="0.25">
      <c r="A43" s="514" t="s">
        <v>1453</v>
      </c>
      <c r="B43" s="514" t="s">
        <v>1455</v>
      </c>
      <c r="C43" s="515"/>
      <c r="D43" s="6">
        <v>40000</v>
      </c>
      <c r="E43" s="520">
        <f>+D43/P43*(CALC!$A$4)</f>
        <v>103410.3410341034</v>
      </c>
      <c r="F43" s="526">
        <v>23400</v>
      </c>
      <c r="G43" s="28">
        <f>CALC!$A$23*(I43/CEM!I$148)</f>
        <v>14137.488543721191</v>
      </c>
      <c r="H43" s="28">
        <v>20000</v>
      </c>
      <c r="I43" s="28">
        <v>100000</v>
      </c>
      <c r="J43" s="28"/>
      <c r="K43" s="529">
        <f t="shared" si="9"/>
        <v>718.68000000000006</v>
      </c>
      <c r="L43" s="28"/>
      <c r="M43" s="28">
        <f t="shared" si="10"/>
        <v>261666.50957782459</v>
      </c>
      <c r="N43" s="28">
        <f>M43/CALC!$A$8*CALC!$A$6</f>
        <v>4242.9193095695109</v>
      </c>
      <c r="O43" s="28">
        <f t="shared" si="11"/>
        <v>265909.42888739408</v>
      </c>
      <c r="P43" s="37">
        <v>9.09</v>
      </c>
      <c r="Q43" s="38"/>
    </row>
    <row r="44" spans="1:17" x14ac:dyDescent="0.25">
      <c r="A44" s="507" t="s">
        <v>1453</v>
      </c>
      <c r="B44" s="507" t="s">
        <v>1456</v>
      </c>
      <c r="C44" s="14" t="s">
        <v>1462</v>
      </c>
      <c r="D44" s="6">
        <v>0</v>
      </c>
      <c r="E44" s="48">
        <f>+D44/P44*(CALC!$A$4)</f>
        <v>0</v>
      </c>
      <c r="F44" s="28">
        <v>0</v>
      </c>
      <c r="G44" s="28">
        <f>CALC!$A$23*(I44/CEM!I$148)</f>
        <v>0</v>
      </c>
      <c r="H44" s="28">
        <v>0</v>
      </c>
      <c r="I44" s="28">
        <v>0</v>
      </c>
      <c r="J44" s="28"/>
      <c r="K44" s="28">
        <v>0</v>
      </c>
      <c r="L44" s="28"/>
      <c r="M44" s="28">
        <f t="shared" si="10"/>
        <v>0</v>
      </c>
      <c r="N44" s="28">
        <f>M44/CALC!$A$8*CALC!$A$6</f>
        <v>0</v>
      </c>
      <c r="O44" s="28">
        <f t="shared" si="11"/>
        <v>0</v>
      </c>
      <c r="P44" s="37">
        <v>9.09</v>
      </c>
      <c r="Q44" s="38"/>
    </row>
    <row r="45" spans="1:17" x14ac:dyDescent="0.25">
      <c r="A45" s="514" t="s">
        <v>1453</v>
      </c>
      <c r="B45" s="514" t="s">
        <v>1457</v>
      </c>
      <c r="C45" s="14"/>
      <c r="D45" s="6">
        <v>40000</v>
      </c>
      <c r="E45" s="520">
        <f>+D45/P45*(CALC!$A$4)</f>
        <v>103410.3410341034</v>
      </c>
      <c r="F45" s="526">
        <v>23400</v>
      </c>
      <c r="G45" s="28">
        <f>CALC!$A$23*(I45/CEM!I$148)</f>
        <v>14137.488543721191</v>
      </c>
      <c r="H45" s="28">
        <v>20000</v>
      </c>
      <c r="I45" s="28">
        <v>100000</v>
      </c>
      <c r="J45" s="28"/>
      <c r="K45" s="529">
        <f t="shared" ref="K45:K47" si="12">678*1.06</f>
        <v>718.68000000000006</v>
      </c>
      <c r="L45" s="28"/>
      <c r="M45" s="28">
        <f t="shared" si="10"/>
        <v>261666.50957782459</v>
      </c>
      <c r="N45" s="28">
        <f>M45/CALC!$A$8*CALC!$A$6</f>
        <v>4242.9193095695109</v>
      </c>
      <c r="O45" s="28">
        <f t="shared" si="11"/>
        <v>265909.42888739408</v>
      </c>
      <c r="P45" s="37">
        <v>9.09</v>
      </c>
      <c r="Q45" s="38"/>
    </row>
    <row r="46" spans="1:17" x14ac:dyDescent="0.25">
      <c r="A46" s="514" t="s">
        <v>1453</v>
      </c>
      <c r="B46" s="514" t="s">
        <v>1458</v>
      </c>
      <c r="C46" s="14"/>
      <c r="D46" s="6">
        <v>40000</v>
      </c>
      <c r="E46" s="520">
        <f>+D46/P46*(CALC!$A$4)</f>
        <v>103410.3410341034</v>
      </c>
      <c r="F46" s="526">
        <v>23400</v>
      </c>
      <c r="G46" s="28">
        <f>CALC!$A$23*(I46/CEM!I$148)</f>
        <v>14137.488543721191</v>
      </c>
      <c r="H46" s="28">
        <v>20000</v>
      </c>
      <c r="I46" s="28">
        <v>100000</v>
      </c>
      <c r="J46" s="28"/>
      <c r="K46" s="529">
        <f t="shared" si="12"/>
        <v>718.68000000000006</v>
      </c>
      <c r="L46" s="28"/>
      <c r="M46" s="28">
        <f t="shared" si="10"/>
        <v>261666.50957782459</v>
      </c>
      <c r="N46" s="28">
        <f>M46/CALC!$A$8*CALC!$A$6</f>
        <v>4242.9193095695109</v>
      </c>
      <c r="O46" s="28">
        <f t="shared" si="11"/>
        <v>265909.42888739408</v>
      </c>
      <c r="P46" s="37">
        <v>9.09</v>
      </c>
      <c r="Q46" s="38"/>
    </row>
    <row r="47" spans="1:17" x14ac:dyDescent="0.25">
      <c r="A47" s="491" t="str">
        <f>+'1-10'!C42</f>
        <v>NISSAN NP 300 4X4 [173]</v>
      </c>
      <c r="B47" s="491" t="str">
        <f>+'1-10'!R42</f>
        <v>CLW 849 L</v>
      </c>
      <c r="C47" s="492" t="s">
        <v>225</v>
      </c>
      <c r="D47" s="6">
        <v>40000</v>
      </c>
      <c r="E47" s="520">
        <f>+D47/P47*(CALC!$A$4)</f>
        <v>103410.3410341034</v>
      </c>
      <c r="F47" s="28">
        <v>23400</v>
      </c>
      <c r="G47" s="28">
        <f>CALC!$A$23*(I47/CEM!I$148)</f>
        <v>3375.7905131865223</v>
      </c>
      <c r="H47" s="28">
        <f>58000</f>
        <v>58000</v>
      </c>
      <c r="I47" s="28">
        <v>23878.29</v>
      </c>
      <c r="J47" s="28"/>
      <c r="K47" s="529">
        <f t="shared" si="12"/>
        <v>718.68000000000006</v>
      </c>
      <c r="L47" s="28"/>
      <c r="M47" s="28">
        <f t="shared" si="5"/>
        <v>212783.10154728993</v>
      </c>
      <c r="N47" s="28">
        <f>M47/CALC!$A$8*CALC!$A$6</f>
        <v>3450.2754355599727</v>
      </c>
      <c r="O47" s="28">
        <f t="shared" si="6"/>
        <v>216233.37698284991</v>
      </c>
      <c r="P47" s="37">
        <v>9.09</v>
      </c>
      <c r="Q47" s="38"/>
    </row>
    <row r="48" spans="1:17" s="7" customFormat="1" x14ac:dyDescent="0.25">
      <c r="A48" s="3"/>
      <c r="B48" s="3" t="s">
        <v>14</v>
      </c>
      <c r="C48" s="18"/>
      <c r="D48" s="12">
        <f t="shared" ref="D48:M48" si="13">SUM(D29:D47)</f>
        <v>470000</v>
      </c>
      <c r="E48" s="10">
        <f t="shared" si="13"/>
        <v>1215071.507150715</v>
      </c>
      <c r="F48" s="10">
        <f t="shared" si="13"/>
        <v>374400</v>
      </c>
      <c r="G48" s="10">
        <f t="shared" si="13"/>
        <v>76829.385550247796</v>
      </c>
      <c r="H48" s="10">
        <f t="shared" si="13"/>
        <v>424400</v>
      </c>
      <c r="I48" s="10">
        <f t="shared" si="13"/>
        <v>543444.37</v>
      </c>
      <c r="J48" s="10">
        <f t="shared" si="13"/>
        <v>0</v>
      </c>
      <c r="K48" s="10">
        <f t="shared" si="13"/>
        <v>11498.880000000003</v>
      </c>
      <c r="L48" s="10">
        <f t="shared" si="13"/>
        <v>0</v>
      </c>
      <c r="M48" s="10">
        <f t="shared" si="13"/>
        <v>2645644.1427009632</v>
      </c>
      <c r="N48" s="10">
        <f>M48/CALC!$A$8*CALC!$A$6</f>
        <v>42899.087993439935</v>
      </c>
      <c r="O48" s="10">
        <f>+M48+N48</f>
        <v>2688543.2306944029</v>
      </c>
      <c r="P48" s="25"/>
      <c r="Q48" s="111">
        <f>(+O48/D48)*(1+CALC!$A$3)</f>
        <v>5.7203047461583045</v>
      </c>
    </row>
    <row r="49" spans="1:17" ht="11" thickBot="1" x14ac:dyDescent="0.3">
      <c r="Q49" s="16"/>
    </row>
    <row r="50" spans="1:17" ht="11" thickBot="1" x14ac:dyDescent="0.3">
      <c r="A50" s="284" t="s">
        <v>10</v>
      </c>
      <c r="B50" s="285" t="s">
        <v>109</v>
      </c>
      <c r="D50" s="541" t="s">
        <v>31</v>
      </c>
      <c r="E50" s="542"/>
      <c r="F50" s="543"/>
      <c r="Q50" s="16"/>
    </row>
    <row r="51" spans="1:17" x14ac:dyDescent="0.25">
      <c r="Q51" s="16"/>
    </row>
    <row r="52" spans="1:17" s="470" customFormat="1" x14ac:dyDescent="0.25">
      <c r="A52" s="463" t="s">
        <v>1482</v>
      </c>
      <c r="B52" s="463" t="s">
        <v>1483</v>
      </c>
      <c r="C52" s="334">
        <v>54</v>
      </c>
      <c r="D52" s="464">
        <v>10</v>
      </c>
      <c r="E52" s="471">
        <f>+D52/P52*(CALC!$A$4)</f>
        <v>1175</v>
      </c>
      <c r="F52" s="466">
        <v>3000</v>
      </c>
      <c r="G52" s="28">
        <f>CALC!$A$23*(I52/CEM!I$148)</f>
        <v>0</v>
      </c>
      <c r="H52" s="466">
        <f>5000*(1+CALC!$A$2)</f>
        <v>3875</v>
      </c>
      <c r="I52" s="466"/>
      <c r="J52" s="466">
        <v>0</v>
      </c>
      <c r="K52" s="528">
        <f>168*1.06</f>
        <v>178.08</v>
      </c>
      <c r="L52" s="466"/>
      <c r="M52" s="466">
        <f>SUM(E52:K52)</f>
        <v>8228.08</v>
      </c>
      <c r="N52" s="467">
        <f>M52/CALC!$A$8*CALC!$A$6</f>
        <v>133.41821836125911</v>
      </c>
      <c r="O52" s="466">
        <f>SUM(M52:N52)</f>
        <v>8361.4982183612592</v>
      </c>
      <c r="P52" s="468">
        <v>0.2</v>
      </c>
      <c r="Q52" s="472"/>
    </row>
    <row r="53" spans="1:17" x14ac:dyDescent="0.25">
      <c r="A53" s="8"/>
      <c r="B53" s="8"/>
      <c r="C53" s="14"/>
      <c r="D53" s="6"/>
      <c r="E53" s="22"/>
      <c r="F53" s="9"/>
      <c r="G53" s="9"/>
      <c r="H53" s="9"/>
      <c r="I53" s="9"/>
      <c r="J53" s="9"/>
      <c r="K53" s="9"/>
      <c r="L53" s="9"/>
      <c r="M53" s="9"/>
      <c r="N53" s="9"/>
      <c r="O53" s="9"/>
      <c r="P53" s="23"/>
      <c r="Q53" s="16"/>
    </row>
    <row r="54" spans="1:17" s="7" customFormat="1" x14ac:dyDescent="0.25">
      <c r="A54" s="3"/>
      <c r="B54" s="3" t="s">
        <v>14</v>
      </c>
      <c r="C54" s="18"/>
      <c r="D54" s="12">
        <f t="shared" ref="D54:M54" si="14">SUM(D52:D53)</f>
        <v>10</v>
      </c>
      <c r="E54" s="10">
        <f t="shared" si="14"/>
        <v>1175</v>
      </c>
      <c r="F54" s="10">
        <f t="shared" si="14"/>
        <v>3000</v>
      </c>
      <c r="G54" s="10">
        <f t="shared" si="14"/>
        <v>0</v>
      </c>
      <c r="H54" s="10">
        <f t="shared" si="14"/>
        <v>3875</v>
      </c>
      <c r="I54" s="10">
        <f t="shared" si="14"/>
        <v>0</v>
      </c>
      <c r="J54" s="10">
        <f t="shared" si="14"/>
        <v>0</v>
      </c>
      <c r="K54" s="10">
        <f t="shared" si="14"/>
        <v>178.08</v>
      </c>
      <c r="L54" s="10">
        <f>SUM(L52:L53)</f>
        <v>0</v>
      </c>
      <c r="M54" s="10">
        <f t="shared" si="14"/>
        <v>8228.08</v>
      </c>
      <c r="N54" s="10">
        <f>M54/CALC!$A$8*CALC!$A$6</f>
        <v>133.41821836125911</v>
      </c>
      <c r="O54" s="10">
        <f>+M54+N54</f>
        <v>8361.4982183612592</v>
      </c>
      <c r="P54" s="25"/>
      <c r="Q54" s="111">
        <f>(+O54/D54)*(1+CALC!$A$3)</f>
        <v>836.14982183612597</v>
      </c>
    </row>
    <row r="55" spans="1:17" x14ac:dyDescent="0.25">
      <c r="Q55" s="16"/>
    </row>
    <row r="56" spans="1:17" ht="11" thickBot="1" x14ac:dyDescent="0.3">
      <c r="Q56" s="16"/>
    </row>
    <row r="57" spans="1:17" ht="11" thickBot="1" x14ac:dyDescent="0.3">
      <c r="A57" s="284" t="s">
        <v>10</v>
      </c>
      <c r="B57" s="285" t="s">
        <v>110</v>
      </c>
      <c r="D57" s="541" t="s">
        <v>25</v>
      </c>
      <c r="E57" s="542"/>
      <c r="F57" s="543"/>
      <c r="Q57" s="16"/>
    </row>
    <row r="58" spans="1:17" x14ac:dyDescent="0.25">
      <c r="Q58" s="16"/>
    </row>
    <row r="59" spans="1:17" s="470" customFormat="1" x14ac:dyDescent="0.25">
      <c r="A59" s="463" t="s">
        <v>1509</v>
      </c>
      <c r="B59" s="463" t="s">
        <v>1510</v>
      </c>
      <c r="C59" s="334">
        <v>133</v>
      </c>
      <c r="D59" s="464">
        <v>25</v>
      </c>
      <c r="E59" s="471">
        <f>+D59/P59*(CALC!$A$4)</f>
        <v>2175.9259259259256</v>
      </c>
      <c r="F59" s="466">
        <v>3000</v>
      </c>
      <c r="G59" s="28">
        <f>CALC!$A$23*(I59/CEM!I$148)</f>
        <v>0</v>
      </c>
      <c r="H59" s="466">
        <f>50000*(1+CALC!$A$2)</f>
        <v>38750</v>
      </c>
      <c r="I59" s="466"/>
      <c r="J59" s="466">
        <v>0</v>
      </c>
      <c r="K59" s="528">
        <v>240</v>
      </c>
      <c r="L59" s="466"/>
      <c r="M59" s="466">
        <f>SUM(E59:L59)</f>
        <v>44165.925925925927</v>
      </c>
      <c r="N59" s="467">
        <f>M59/CALC!$A$8*CALC!$A$6</f>
        <v>716.14995835144782</v>
      </c>
      <c r="O59" s="466">
        <f>+M59+N59</f>
        <v>44882.075884277372</v>
      </c>
      <c r="P59" s="468">
        <v>0.27</v>
      </c>
      <c r="Q59" s="469"/>
    </row>
    <row r="60" spans="1:17" x14ac:dyDescent="0.25">
      <c r="A60" s="8"/>
      <c r="B60" s="8"/>
      <c r="C60" s="14"/>
      <c r="D60" s="6"/>
      <c r="E60" s="22"/>
      <c r="F60" s="9"/>
      <c r="G60" s="9"/>
      <c r="H60" s="9"/>
      <c r="I60" s="9"/>
      <c r="J60" s="9"/>
      <c r="K60" s="9"/>
      <c r="L60" s="9"/>
      <c r="M60" s="9"/>
      <c r="N60" s="9"/>
      <c r="O60" s="9"/>
      <c r="P60" s="23"/>
      <c r="Q60" s="16"/>
    </row>
    <row r="61" spans="1:17" s="7" customFormat="1" x14ac:dyDescent="0.25">
      <c r="A61" s="3"/>
      <c r="B61" s="3" t="s">
        <v>14</v>
      </c>
      <c r="C61" s="18"/>
      <c r="D61" s="12">
        <f t="shared" ref="D61:M61" si="15">SUM(D59:D60)</f>
        <v>25</v>
      </c>
      <c r="E61" s="10">
        <f t="shared" si="15"/>
        <v>2175.9259259259256</v>
      </c>
      <c r="F61" s="10">
        <f t="shared" si="15"/>
        <v>3000</v>
      </c>
      <c r="G61" s="10">
        <f t="shared" si="15"/>
        <v>0</v>
      </c>
      <c r="H61" s="10">
        <f t="shared" si="15"/>
        <v>38750</v>
      </c>
      <c r="I61" s="10">
        <f t="shared" si="15"/>
        <v>0</v>
      </c>
      <c r="J61" s="10">
        <f t="shared" si="15"/>
        <v>0</v>
      </c>
      <c r="K61" s="10">
        <f t="shared" si="15"/>
        <v>240</v>
      </c>
      <c r="L61" s="10">
        <f>SUM(L59:L60)</f>
        <v>0</v>
      </c>
      <c r="M61" s="10">
        <f t="shared" si="15"/>
        <v>44165.925925925927</v>
      </c>
      <c r="N61" s="10">
        <f>M61/CALC!$A$8*CALC!$A$6</f>
        <v>716.14995835144782</v>
      </c>
      <c r="O61" s="10">
        <f>+M61+N61</f>
        <v>44882.075884277372</v>
      </c>
      <c r="P61" s="25"/>
      <c r="Q61" s="111">
        <f>(+O61/D61)*(1+CALC!$A$3)</f>
        <v>1795.2830353710949</v>
      </c>
    </row>
    <row r="62" spans="1:17" x14ac:dyDescent="0.25">
      <c r="Q62" s="16"/>
    </row>
    <row r="63" spans="1:17" s="7" customFormat="1" ht="11" thickBot="1" x14ac:dyDescent="0.3">
      <c r="C63" s="29"/>
      <c r="D63" s="30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40"/>
    </row>
    <row r="64" spans="1:17" ht="11" thickBot="1" x14ac:dyDescent="0.3">
      <c r="A64" s="284" t="s">
        <v>10</v>
      </c>
      <c r="B64" s="285" t="s">
        <v>437</v>
      </c>
      <c r="D64" s="541" t="s">
        <v>226</v>
      </c>
      <c r="E64" s="542"/>
      <c r="F64" s="543"/>
      <c r="Q64" s="16"/>
    </row>
    <row r="65" spans="1:17" x14ac:dyDescent="0.25">
      <c r="Q65" s="16"/>
    </row>
    <row r="66" spans="1:17" x14ac:dyDescent="0.25">
      <c r="A66" s="489" t="str">
        <f>+'1-10'!C75</f>
        <v>NISSAN  UD40 - CHERRY PICKER [173]</v>
      </c>
      <c r="B66" s="490" t="str">
        <f>+'1-10'!R75</f>
        <v>CNF 628 L</v>
      </c>
      <c r="C66" s="484">
        <v>674</v>
      </c>
      <c r="D66" s="6">
        <v>8000</v>
      </c>
      <c r="E66" s="520">
        <f>+D66/P66*(CALC!$A$4)</f>
        <v>125333.33333333333</v>
      </c>
      <c r="F66" s="28">
        <v>23400</v>
      </c>
      <c r="G66" s="28">
        <f>CALC!$A$23*(I66/CEM!I$148)</f>
        <v>3759.7477370477372</v>
      </c>
      <c r="H66" s="28">
        <v>50000</v>
      </c>
      <c r="I66" s="28">
        <v>26594.17</v>
      </c>
      <c r="J66" s="28"/>
      <c r="K66" s="528">
        <f>2952*1.06</f>
        <v>3129.1200000000003</v>
      </c>
      <c r="L66" s="28"/>
      <c r="M66" s="28">
        <f>SUM(E66:L66)</f>
        <v>232216.37107038102</v>
      </c>
      <c r="N66" s="24">
        <f>M66/CALC!$A$8*CALC!$A$6</f>
        <v>3765.3856674372723</v>
      </c>
      <c r="O66" s="28">
        <f>+M66+N66</f>
        <v>235981.7567378183</v>
      </c>
      <c r="P66" s="37">
        <v>1.5</v>
      </c>
      <c r="Q66" s="38"/>
    </row>
    <row r="67" spans="1:17" x14ac:dyDescent="0.25">
      <c r="A67" s="489" t="str">
        <f>+'1-10'!C76</f>
        <v>NISSAN  UD40 - CHERRY PICKER [173]</v>
      </c>
      <c r="B67" s="490" t="str">
        <f>+'1-10'!R76</f>
        <v>CNF 616 L</v>
      </c>
      <c r="C67" s="484">
        <v>675</v>
      </c>
      <c r="D67" s="6">
        <v>8000</v>
      </c>
      <c r="E67" s="520">
        <f>+D67/P67*(CALC!$A$4)</f>
        <v>125333.33333333333</v>
      </c>
      <c r="F67" s="28">
        <v>23400</v>
      </c>
      <c r="G67" s="28">
        <f>CALC!$A$23*(I67/CEM!I$148)</f>
        <v>3759.7477370477372</v>
      </c>
      <c r="H67" s="28">
        <v>50000</v>
      </c>
      <c r="I67" s="28">
        <v>26594.17</v>
      </c>
      <c r="J67" s="28"/>
      <c r="K67" s="528">
        <f>2952*1.06</f>
        <v>3129.1200000000003</v>
      </c>
      <c r="L67" s="28"/>
      <c r="M67" s="28">
        <f>SUM(E67:L67)</f>
        <v>232216.37107038102</v>
      </c>
      <c r="N67" s="24">
        <f>M67/CALC!$A$8*CALC!$A$6</f>
        <v>3765.3856674372723</v>
      </c>
      <c r="O67" s="28">
        <f>+M67+N67</f>
        <v>235981.7567378183</v>
      </c>
      <c r="P67" s="37">
        <v>1.5</v>
      </c>
      <c r="Q67" s="38"/>
    </row>
    <row r="68" spans="1:17" x14ac:dyDescent="0.25">
      <c r="A68" s="41"/>
      <c r="B68" s="8"/>
      <c r="C68" s="14"/>
      <c r="D68" s="6"/>
      <c r="E68" s="22"/>
      <c r="F68" s="9"/>
      <c r="G68" s="9"/>
      <c r="H68" s="9"/>
      <c r="I68" s="9"/>
      <c r="J68" s="9"/>
      <c r="K68" s="9"/>
      <c r="L68" s="9"/>
      <c r="M68" s="9"/>
      <c r="N68" s="9"/>
      <c r="O68" s="9"/>
      <c r="P68" s="23"/>
      <c r="Q68" s="16"/>
    </row>
    <row r="69" spans="1:17" s="7" customFormat="1" x14ac:dyDescent="0.25">
      <c r="A69" s="3"/>
      <c r="B69" s="3" t="s">
        <v>14</v>
      </c>
      <c r="C69" s="18"/>
      <c r="D69" s="12">
        <f t="shared" ref="D69:M69" si="16">SUM(D66:D68)</f>
        <v>16000</v>
      </c>
      <c r="E69" s="10">
        <f>SUM(E66:E68)</f>
        <v>250666.66666666666</v>
      </c>
      <c r="F69" s="10">
        <f t="shared" si="16"/>
        <v>46800</v>
      </c>
      <c r="G69" s="10">
        <f t="shared" si="16"/>
        <v>7519.4954740954745</v>
      </c>
      <c r="H69" s="10">
        <f t="shared" si="16"/>
        <v>100000</v>
      </c>
      <c r="I69" s="10">
        <f t="shared" si="16"/>
        <v>53188.34</v>
      </c>
      <c r="J69" s="10">
        <f t="shared" si="16"/>
        <v>0</v>
      </c>
      <c r="K69" s="10">
        <f t="shared" si="16"/>
        <v>6258.2400000000007</v>
      </c>
      <c r="L69" s="10">
        <f t="shared" si="16"/>
        <v>0</v>
      </c>
      <c r="M69" s="10">
        <f t="shared" si="16"/>
        <v>464432.74214076204</v>
      </c>
      <c r="N69" s="10">
        <f>M69/CALC!$A$8*CALC!$A$6</f>
        <v>7530.7713348745447</v>
      </c>
      <c r="O69" s="10">
        <f>+M69+N69</f>
        <v>471963.5134756366</v>
      </c>
      <c r="P69" s="25"/>
      <c r="Q69" s="111">
        <f>(+O69/D69)*(1+CALC!$A$3)</f>
        <v>29.497719592227288</v>
      </c>
    </row>
    <row r="70" spans="1:17" ht="11" thickBot="1" x14ac:dyDescent="0.3">
      <c r="Q70" s="16"/>
    </row>
    <row r="71" spans="1:17" ht="11" thickBot="1" x14ac:dyDescent="0.3">
      <c r="A71" s="284" t="s">
        <v>10</v>
      </c>
      <c r="B71" s="285" t="s">
        <v>438</v>
      </c>
      <c r="D71" s="541" t="s">
        <v>233</v>
      </c>
      <c r="E71" s="542"/>
      <c r="F71" s="543"/>
      <c r="Q71" s="16"/>
    </row>
    <row r="72" spans="1:17" x14ac:dyDescent="0.25">
      <c r="Q72" s="16"/>
    </row>
    <row r="73" spans="1:17" x14ac:dyDescent="0.25">
      <c r="A73" s="483" t="str">
        <f>+'1-10'!C83</f>
        <v>NISSAN  UD 80 C H07 [173] CRANE</v>
      </c>
      <c r="B73" s="490" t="str">
        <f>+'1-10'!R83</f>
        <v>CMN 100 L</v>
      </c>
      <c r="C73" s="484">
        <v>682</v>
      </c>
      <c r="D73" s="6">
        <v>8000</v>
      </c>
      <c r="E73" s="520">
        <f>+D73/P73*(CALC!$A$4)</f>
        <v>125333.33333333333</v>
      </c>
      <c r="F73" s="28">
        <v>23400</v>
      </c>
      <c r="G73" s="28">
        <f>CALC!$A$23*(I73/CEM!I$148)</f>
        <v>8086.1132911881314</v>
      </c>
      <c r="H73" s="28">
        <f>95000</f>
        <v>95000</v>
      </c>
      <c r="I73" s="28">
        <v>57196.25</v>
      </c>
      <c r="J73" s="28"/>
      <c r="K73" s="528">
        <f>11118*1.06</f>
        <v>11785.08</v>
      </c>
      <c r="L73" s="28"/>
      <c r="M73" s="28">
        <f>SUM(E73:L73)</f>
        <v>320800.77662452147</v>
      </c>
      <c r="N73" s="24">
        <f>M73/CALC!$A$8*CALC!$A$6</f>
        <v>5201.7807393890089</v>
      </c>
      <c r="O73" s="28">
        <f>+M73+N73</f>
        <v>326002.55736391048</v>
      </c>
      <c r="P73" s="37">
        <v>1.5</v>
      </c>
      <c r="Q73" s="38"/>
    </row>
    <row r="74" spans="1:17" x14ac:dyDescent="0.25">
      <c r="A74" s="483" t="str">
        <f>+'1-10'!C85</f>
        <v>NISSAN  UD 80 C H07 [173] CRANE</v>
      </c>
      <c r="B74" s="490" t="str">
        <f>+'1-10'!R85</f>
        <v>CNF 598 L</v>
      </c>
      <c r="C74" s="484">
        <v>684</v>
      </c>
      <c r="D74" s="6">
        <v>8000</v>
      </c>
      <c r="E74" s="520">
        <f>+D74/P74*(CALC!$A$4)</f>
        <v>125333.33333333333</v>
      </c>
      <c r="F74" s="28">
        <v>23400</v>
      </c>
      <c r="G74" s="28">
        <f>CALC!$A$23*(I74/CEM!I$148)</f>
        <v>8716.4572516404642</v>
      </c>
      <c r="H74" s="28">
        <f>95000</f>
        <v>95000</v>
      </c>
      <c r="I74" s="28">
        <v>61654.92</v>
      </c>
      <c r="J74" s="28"/>
      <c r="K74" s="528">
        <f>9492*1.06</f>
        <v>10061.52</v>
      </c>
      <c r="L74" s="28"/>
      <c r="M74" s="28">
        <f>SUM(E74:L74)</f>
        <v>324166.23058497382</v>
      </c>
      <c r="N74" s="24">
        <f>M74/CALC!$A$8*CALC!$A$6</f>
        <v>5256.3515349306654</v>
      </c>
      <c r="O74" s="28">
        <f>+M74+N74</f>
        <v>329422.58211990446</v>
      </c>
      <c r="P74" s="37">
        <v>1.5</v>
      </c>
      <c r="Q74" s="38"/>
    </row>
    <row r="75" spans="1:17" x14ac:dyDescent="0.25">
      <c r="A75" s="8"/>
      <c r="B75" s="8"/>
      <c r="C75" s="14"/>
      <c r="D75" s="6"/>
      <c r="E75" s="22"/>
      <c r="F75" s="9"/>
      <c r="G75" s="9"/>
      <c r="H75" s="9"/>
      <c r="I75" s="9"/>
      <c r="J75" s="9"/>
      <c r="K75" s="9"/>
      <c r="L75" s="9"/>
      <c r="M75" s="9"/>
      <c r="N75" s="9"/>
      <c r="O75" s="9">
        <f>+M75+N75</f>
        <v>0</v>
      </c>
      <c r="P75" s="23"/>
      <c r="Q75" s="16"/>
    </row>
    <row r="76" spans="1:17" s="7" customFormat="1" x14ac:dyDescent="0.25">
      <c r="A76" s="3"/>
      <c r="B76" s="3" t="s">
        <v>14</v>
      </c>
      <c r="C76" s="18"/>
      <c r="D76" s="12">
        <f t="shared" ref="D76:M76" si="17">SUM(D73:D75)</f>
        <v>16000</v>
      </c>
      <c r="E76" s="10">
        <f t="shared" si="17"/>
        <v>250666.66666666666</v>
      </c>
      <c r="F76" s="10">
        <f t="shared" si="17"/>
        <v>46800</v>
      </c>
      <c r="G76" s="10">
        <f t="shared" si="17"/>
        <v>16802.570542828595</v>
      </c>
      <c r="H76" s="10">
        <f t="shared" si="17"/>
        <v>190000</v>
      </c>
      <c r="I76" s="10">
        <f t="shared" si="17"/>
        <v>118851.17</v>
      </c>
      <c r="J76" s="10">
        <f t="shared" si="17"/>
        <v>0</v>
      </c>
      <c r="K76" s="10">
        <f t="shared" si="17"/>
        <v>21846.6</v>
      </c>
      <c r="L76" s="10">
        <f t="shared" si="17"/>
        <v>0</v>
      </c>
      <c r="M76" s="10">
        <f t="shared" si="17"/>
        <v>644967.00720949529</v>
      </c>
      <c r="N76" s="10">
        <f>M76/CALC!$A$8*CALC!$A$6</f>
        <v>10458.132274319674</v>
      </c>
      <c r="O76" s="10">
        <f>+M76+N76</f>
        <v>655425.13948381494</v>
      </c>
      <c r="P76" s="25"/>
      <c r="Q76" s="111">
        <f>(+O76/D76)*(1+CALC!$A$3)</f>
        <v>40.964071217738436</v>
      </c>
    </row>
    <row r="77" spans="1:17" s="7" customFormat="1" ht="11" thickBot="1" x14ac:dyDescent="0.3">
      <c r="C77" s="29"/>
      <c r="D77" s="30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40"/>
    </row>
    <row r="78" spans="1:17" ht="11" thickBot="1" x14ac:dyDescent="0.3">
      <c r="A78" s="284" t="s">
        <v>10</v>
      </c>
      <c r="B78" s="285" t="s">
        <v>439</v>
      </c>
      <c r="D78" s="541" t="s">
        <v>405</v>
      </c>
      <c r="E78" s="542"/>
      <c r="F78" s="543"/>
      <c r="Q78" s="16"/>
    </row>
    <row r="79" spans="1:17" ht="11" thickBot="1" x14ac:dyDescent="0.3">
      <c r="Q79" s="16"/>
    </row>
    <row r="80" spans="1:17" ht="11" thickBot="1" x14ac:dyDescent="0.3">
      <c r="A80" s="487" t="str">
        <f>+'1-10'!C100</f>
        <v xml:space="preserve">NISSAN  UD 330WF T27 CRANE TRUCK </v>
      </c>
      <c r="B80" s="493" t="str">
        <f>+'1-10'!R100</f>
        <v>CMS 088 L</v>
      </c>
      <c r="C80" s="494" t="s">
        <v>416</v>
      </c>
      <c r="D80" s="6">
        <v>10000</v>
      </c>
      <c r="E80" s="520">
        <f>+D80/P80*(CALC!$A$4)</f>
        <v>180769.23076923078</v>
      </c>
      <c r="F80" s="28">
        <v>23400</v>
      </c>
      <c r="G80" s="28">
        <f>CALC!$A$23*(I80/CEM!I$148)</f>
        <v>13761.475174672692</v>
      </c>
      <c r="H80" s="28">
        <f>140000</f>
        <v>140000</v>
      </c>
      <c r="I80" s="28">
        <v>97340.31</v>
      </c>
      <c r="J80" s="28"/>
      <c r="K80" s="528">
        <f>34158*1.06</f>
        <v>36207.480000000003</v>
      </c>
      <c r="L80" s="28"/>
      <c r="M80" s="28">
        <f>SUM(E80:L80)</f>
        <v>491478.49594390346</v>
      </c>
      <c r="N80" s="24">
        <f>M80/CALC!$A$8*CALC!$A$6</f>
        <v>7969.3179079088823</v>
      </c>
      <c r="O80" s="28">
        <f>+M80+N80</f>
        <v>499447.81385181233</v>
      </c>
      <c r="P80" s="37">
        <v>1.3</v>
      </c>
      <c r="Q80" s="38"/>
    </row>
    <row r="81" spans="1:17" x14ac:dyDescent="0.25">
      <c r="A81" s="8"/>
      <c r="B81" s="8"/>
      <c r="C81" s="14"/>
      <c r="D81" s="6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23"/>
      <c r="Q81" s="16"/>
    </row>
    <row r="82" spans="1:17" s="7" customFormat="1" x14ac:dyDescent="0.25">
      <c r="B82" s="3" t="s">
        <v>14</v>
      </c>
      <c r="C82" s="18"/>
      <c r="D82" s="12">
        <f>SUM(D80:D81)</f>
        <v>10000</v>
      </c>
      <c r="E82" s="10">
        <f>SUM(E80:E81)</f>
        <v>180769.23076923078</v>
      </c>
      <c r="F82" s="10">
        <f t="shared" ref="F82:K82" si="18">SUM(F80:F81)</f>
        <v>23400</v>
      </c>
      <c r="G82" s="10">
        <f t="shared" si="18"/>
        <v>13761.475174672692</v>
      </c>
      <c r="H82" s="10">
        <f t="shared" si="18"/>
        <v>140000</v>
      </c>
      <c r="I82" s="10">
        <f t="shared" si="18"/>
        <v>97340.31</v>
      </c>
      <c r="J82" s="10">
        <f t="shared" si="18"/>
        <v>0</v>
      </c>
      <c r="K82" s="10">
        <f t="shared" si="18"/>
        <v>36207.480000000003</v>
      </c>
      <c r="L82" s="10">
        <f>+L80</f>
        <v>0</v>
      </c>
      <c r="M82" s="10">
        <f>SUM(M80:M81)</f>
        <v>491478.49594390346</v>
      </c>
      <c r="N82" s="10">
        <f>M82/CALC!$A$8*CALC!$A$6</f>
        <v>7969.3179079088823</v>
      </c>
      <c r="O82" s="10">
        <f>+M82+N82</f>
        <v>499447.81385181233</v>
      </c>
      <c r="P82" s="25"/>
      <c r="Q82" s="111">
        <f>(+O82/D82)*(1+CALC!$A$3)</f>
        <v>49.94478138518123</v>
      </c>
    </row>
    <row r="83" spans="1:17" s="7" customFormat="1" ht="11" thickBot="1" x14ac:dyDescent="0.3">
      <c r="C83" s="29"/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40"/>
    </row>
    <row r="84" spans="1:17" ht="11" thickBot="1" x14ac:dyDescent="0.3">
      <c r="A84" s="284" t="s">
        <v>10</v>
      </c>
      <c r="B84" s="285" t="s">
        <v>111</v>
      </c>
      <c r="D84" s="541" t="s">
        <v>15</v>
      </c>
      <c r="E84" s="542"/>
      <c r="F84" s="543"/>
      <c r="Q84" s="16"/>
    </row>
    <row r="85" spans="1:17" x14ac:dyDescent="0.25">
      <c r="Q85" s="16"/>
    </row>
    <row r="86" spans="1:17" s="470" customFormat="1" x14ac:dyDescent="0.25">
      <c r="A86" s="463" t="s">
        <v>1542</v>
      </c>
      <c r="B86" s="463" t="s">
        <v>1539</v>
      </c>
      <c r="C86" s="334">
        <v>56</v>
      </c>
      <c r="D86" s="464"/>
      <c r="E86" s="471"/>
      <c r="F86" s="466"/>
      <c r="G86" s="28">
        <f>CALC!$A$23*(I86/CEM!I$148)</f>
        <v>0</v>
      </c>
      <c r="H86" s="466">
        <f>5000*(1+CALC!$A$2)</f>
        <v>3875</v>
      </c>
      <c r="I86" s="466"/>
      <c r="J86" s="466"/>
      <c r="K86" s="528">
        <v>468</v>
      </c>
      <c r="L86" s="466"/>
      <c r="M86" s="466">
        <f>SUM(E86:L86)</f>
        <v>4343</v>
      </c>
      <c r="N86" s="467">
        <f>M86/CALC!$A$8*CALC!$A$6</f>
        <v>70.421692830277323</v>
      </c>
      <c r="O86" s="466">
        <f>+M86+N86</f>
        <v>4413.4216928302776</v>
      </c>
      <c r="P86" s="472"/>
      <c r="Q86" s="469"/>
    </row>
    <row r="87" spans="1:17" s="470" customFormat="1" x14ac:dyDescent="0.25">
      <c r="A87" s="463" t="s">
        <v>1540</v>
      </c>
      <c r="B87" s="463" t="s">
        <v>1541</v>
      </c>
      <c r="C87" s="334">
        <v>57</v>
      </c>
      <c r="D87" s="464"/>
      <c r="E87" s="471"/>
      <c r="F87" s="466"/>
      <c r="G87" s="28">
        <f>CALC!$A$23*(I87/CEM!I$148)</f>
        <v>0</v>
      </c>
      <c r="H87" s="466">
        <f>5000*(1+CALC!$A$2)</f>
        <v>3875</v>
      </c>
      <c r="I87" s="466"/>
      <c r="J87" s="466"/>
      <c r="K87" s="528">
        <v>468</v>
      </c>
      <c r="L87" s="466"/>
      <c r="M87" s="466">
        <f t="shared" ref="M87:M92" si="19">SUM(E87:L87)</f>
        <v>4343</v>
      </c>
      <c r="N87" s="467">
        <f>M87/CALC!$A$8*CALC!$A$6</f>
        <v>70.421692830277323</v>
      </c>
      <c r="O87" s="466">
        <f t="shared" ref="O87:O92" si="20">+M87+N87</f>
        <v>4413.4216928302776</v>
      </c>
      <c r="P87" s="472"/>
      <c r="Q87" s="469"/>
    </row>
    <row r="88" spans="1:17" s="470" customFormat="1" x14ac:dyDescent="0.25">
      <c r="A88" s="463" t="s">
        <v>1546</v>
      </c>
      <c r="B88" s="463" t="s">
        <v>1547</v>
      </c>
      <c r="C88" s="334">
        <v>58</v>
      </c>
      <c r="D88" s="464"/>
      <c r="E88" s="471"/>
      <c r="F88" s="466"/>
      <c r="G88" s="28">
        <f>CALC!$A$23*(I88/CEM!I$148)</f>
        <v>0</v>
      </c>
      <c r="H88" s="466">
        <f>5000*(1+CALC!$A$2)</f>
        <v>3875</v>
      </c>
      <c r="I88" s="466"/>
      <c r="J88" s="466"/>
      <c r="K88" s="528">
        <v>468</v>
      </c>
      <c r="L88" s="466"/>
      <c r="M88" s="466">
        <f t="shared" si="19"/>
        <v>4343</v>
      </c>
      <c r="N88" s="467">
        <f>M88/CALC!$A$8*CALC!$A$6</f>
        <v>70.421692830277323</v>
      </c>
      <c r="O88" s="466">
        <f t="shared" si="20"/>
        <v>4413.4216928302776</v>
      </c>
      <c r="P88" s="472"/>
      <c r="Q88" s="469"/>
    </row>
    <row r="89" spans="1:17" s="470" customFormat="1" x14ac:dyDescent="0.25">
      <c r="A89" s="463" t="s">
        <v>1553</v>
      </c>
      <c r="B89" s="463" t="s">
        <v>1554</v>
      </c>
      <c r="C89" s="334">
        <v>59</v>
      </c>
      <c r="D89" s="464"/>
      <c r="E89" s="471"/>
      <c r="F89" s="466"/>
      <c r="G89" s="28">
        <f>CALC!$A$23*(I89/CEM!I$148)</f>
        <v>0</v>
      </c>
      <c r="H89" s="466">
        <f>5000*(1+CALC!$A$2)</f>
        <v>3875</v>
      </c>
      <c r="I89" s="466"/>
      <c r="J89" s="466"/>
      <c r="K89" s="528">
        <v>468</v>
      </c>
      <c r="L89" s="466"/>
      <c r="M89" s="466">
        <f t="shared" si="19"/>
        <v>4343</v>
      </c>
      <c r="N89" s="467">
        <f>M89/CALC!$A$8*CALC!$A$6</f>
        <v>70.421692830277323</v>
      </c>
      <c r="O89" s="466">
        <f t="shared" si="20"/>
        <v>4413.4216928302776</v>
      </c>
      <c r="P89" s="472"/>
      <c r="Q89" s="469"/>
    </row>
    <row r="90" spans="1:17" s="470" customFormat="1" x14ac:dyDescent="0.25">
      <c r="A90" s="463" t="s">
        <v>1555</v>
      </c>
      <c r="B90" s="463" t="s">
        <v>1556</v>
      </c>
      <c r="C90" s="334">
        <v>60</v>
      </c>
      <c r="D90" s="464"/>
      <c r="E90" s="471"/>
      <c r="F90" s="466"/>
      <c r="G90" s="28">
        <f>CALC!$A$23*(I90/CEM!I$148)</f>
        <v>0</v>
      </c>
      <c r="H90" s="466">
        <f>5000*(1+CALC!$A$2)</f>
        <v>3875</v>
      </c>
      <c r="I90" s="466"/>
      <c r="J90" s="466"/>
      <c r="K90" s="528">
        <v>468</v>
      </c>
      <c r="L90" s="466"/>
      <c r="M90" s="466">
        <f t="shared" si="19"/>
        <v>4343</v>
      </c>
      <c r="N90" s="467">
        <f>M90/CALC!$A$8*CALC!$A$6</f>
        <v>70.421692830277323</v>
      </c>
      <c r="O90" s="466">
        <f t="shared" si="20"/>
        <v>4413.4216928302776</v>
      </c>
      <c r="P90" s="472"/>
      <c r="Q90" s="469"/>
    </row>
    <row r="91" spans="1:17" s="470" customFormat="1" x14ac:dyDescent="0.25">
      <c r="A91" s="463" t="s">
        <v>37</v>
      </c>
      <c r="B91" s="463" t="s">
        <v>36</v>
      </c>
      <c r="C91" s="334">
        <v>171</v>
      </c>
      <c r="D91" s="464"/>
      <c r="E91" s="471"/>
      <c r="F91" s="466"/>
      <c r="G91" s="28">
        <f>CALC!$A$23*(I91/CEM!I$148)</f>
        <v>0</v>
      </c>
      <c r="H91" s="466"/>
      <c r="I91" s="466"/>
      <c r="J91" s="466"/>
      <c r="K91" s="466"/>
      <c r="L91" s="466"/>
      <c r="M91" s="466">
        <f t="shared" si="19"/>
        <v>0</v>
      </c>
      <c r="N91" s="467">
        <f>M91/CALC!$A$8*CALC!$A$6</f>
        <v>0</v>
      </c>
      <c r="O91" s="466">
        <f t="shared" si="20"/>
        <v>0</v>
      </c>
      <c r="P91" s="472"/>
      <c r="Q91" s="469"/>
    </row>
    <row r="92" spans="1:17" s="470" customFormat="1" x14ac:dyDescent="0.25">
      <c r="A92" s="463" t="s">
        <v>1513</v>
      </c>
      <c r="B92" s="463" t="s">
        <v>1514</v>
      </c>
      <c r="C92" s="334">
        <v>172</v>
      </c>
      <c r="D92" s="464"/>
      <c r="E92" s="471"/>
      <c r="F92" s="466"/>
      <c r="G92" s="28">
        <f>CALC!$A$23*(I92/CEM!I$148)</f>
        <v>0</v>
      </c>
      <c r="H92" s="466">
        <f>5000*(1+CALC!$A$2)</f>
        <v>3875</v>
      </c>
      <c r="I92" s="466">
        <v>0</v>
      </c>
      <c r="J92" s="466"/>
      <c r="K92" s="528">
        <v>468</v>
      </c>
      <c r="L92" s="466"/>
      <c r="M92" s="466">
        <f t="shared" si="19"/>
        <v>4343</v>
      </c>
      <c r="N92" s="467">
        <f>M92/CALC!$A$8*CALC!$A$6</f>
        <v>70.421692830277323</v>
      </c>
      <c r="O92" s="466">
        <f t="shared" si="20"/>
        <v>4413.4216928302776</v>
      </c>
      <c r="P92" s="472"/>
      <c r="Q92" s="469"/>
    </row>
    <row r="93" spans="1:17" x14ac:dyDescent="0.25">
      <c r="A93" s="8"/>
      <c r="B93" s="8"/>
      <c r="C93" s="14"/>
      <c r="D93" s="6"/>
      <c r="E93" s="22"/>
      <c r="F93" s="9"/>
      <c r="G93" s="9"/>
      <c r="H93" s="9"/>
      <c r="I93" s="9"/>
      <c r="J93" s="9"/>
      <c r="K93" s="9"/>
      <c r="L93" s="9"/>
      <c r="M93" s="9"/>
      <c r="N93" s="9"/>
      <c r="O93" s="9"/>
      <c r="P93" s="15"/>
      <c r="Q93" s="16"/>
    </row>
    <row r="94" spans="1:17" s="7" customFormat="1" x14ac:dyDescent="0.25">
      <c r="A94" s="3"/>
      <c r="B94" s="3" t="s">
        <v>14</v>
      </c>
      <c r="C94" s="18"/>
      <c r="D94" s="12"/>
      <c r="E94" s="10"/>
      <c r="F94" s="10">
        <f t="shared" ref="F94:M94" si="21">SUM(F86:F93)</f>
        <v>0</v>
      </c>
      <c r="G94" s="10">
        <f t="shared" si="21"/>
        <v>0</v>
      </c>
      <c r="H94" s="10">
        <f t="shared" si="21"/>
        <v>23250</v>
      </c>
      <c r="I94" s="10">
        <f t="shared" si="21"/>
        <v>0</v>
      </c>
      <c r="J94" s="10">
        <f t="shared" si="21"/>
        <v>0</v>
      </c>
      <c r="K94" s="10">
        <f t="shared" si="21"/>
        <v>2808</v>
      </c>
      <c r="L94" s="10"/>
      <c r="M94" s="10">
        <f t="shared" si="21"/>
        <v>26058</v>
      </c>
      <c r="N94" s="10">
        <f>M94/CALC!$A$8*CALC!$A$6</f>
        <v>422.53015698166399</v>
      </c>
      <c r="O94" s="10">
        <f>+M94+N94</f>
        <v>26480.530156981666</v>
      </c>
      <c r="P94" s="31"/>
      <c r="Q94" s="27"/>
    </row>
    <row r="95" spans="1:17" s="7" customFormat="1" ht="11" thickBot="1" x14ac:dyDescent="0.3">
      <c r="C95" s="29"/>
      <c r="D95" s="3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27"/>
    </row>
    <row r="96" spans="1:17" s="7" customFormat="1" ht="11" thickBot="1" x14ac:dyDescent="0.3">
      <c r="A96" s="284" t="s">
        <v>10</v>
      </c>
      <c r="B96" s="285" t="s">
        <v>439</v>
      </c>
      <c r="C96" s="4"/>
      <c r="D96" s="531" t="s">
        <v>405</v>
      </c>
      <c r="E96" s="532"/>
      <c r="F96" s="533"/>
      <c r="G96" s="2"/>
      <c r="H96" s="2"/>
      <c r="I96" s="2"/>
      <c r="J96" s="2"/>
      <c r="K96" s="2"/>
      <c r="L96" s="2"/>
      <c r="M96" s="2"/>
      <c r="N96" s="2"/>
      <c r="O96" s="2"/>
      <c r="P96" s="11"/>
      <c r="Q96" s="16"/>
    </row>
    <row r="97" spans="1:18" s="7" customFormat="1" ht="11" thickBot="1" x14ac:dyDescent="0.3">
      <c r="A97" s="2"/>
      <c r="B97" s="2"/>
      <c r="C97" s="4"/>
      <c r="D97" s="1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1"/>
      <c r="Q97" s="16"/>
    </row>
    <row r="98" spans="1:18" s="7" customFormat="1" ht="11" thickBot="1" x14ac:dyDescent="0.3">
      <c r="A98" s="487" t="s">
        <v>1505</v>
      </c>
      <c r="B98" s="493"/>
      <c r="C98" s="494"/>
      <c r="D98" s="6">
        <v>2000</v>
      </c>
      <c r="E98" s="520">
        <f>+D98*P98*(CALC!$A$4)</f>
        <v>1410000</v>
      </c>
      <c r="F98" s="28"/>
      <c r="G98" s="28"/>
      <c r="H98" s="28">
        <v>30000</v>
      </c>
      <c r="I98" s="28"/>
      <c r="J98" s="28"/>
      <c r="K98" s="528"/>
      <c r="L98" s="28"/>
      <c r="M98" s="28">
        <f>SUM(E98:L98)</f>
        <v>1440000</v>
      </c>
      <c r="N98" s="24">
        <f>M98/CALC!$A$8*CALC!$A$6</f>
        <v>23349.582702187283</v>
      </c>
      <c r="O98" s="28">
        <f>+M98+N98</f>
        <v>1463349.5827021874</v>
      </c>
      <c r="P98" s="37">
        <v>30</v>
      </c>
      <c r="Q98" s="38"/>
    </row>
    <row r="99" spans="1:18" s="7" customFormat="1" x14ac:dyDescent="0.25">
      <c r="A99" s="8"/>
      <c r="B99" s="8"/>
      <c r="C99" s="14"/>
      <c r="D99" s="6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23"/>
      <c r="Q99" s="16"/>
    </row>
    <row r="100" spans="1:18" s="7" customFormat="1" ht="11" thickBot="1" x14ac:dyDescent="0.3">
      <c r="B100" s="3" t="s">
        <v>14</v>
      </c>
      <c r="C100" s="18"/>
      <c r="D100" s="12">
        <f>SUM(D98:D99)</f>
        <v>2000</v>
      </c>
      <c r="E100" s="10">
        <f>SUM(E98:E99)</f>
        <v>1410000</v>
      </c>
      <c r="F100" s="10">
        <f t="shared" ref="F100:K100" si="22">SUM(F98:F99)</f>
        <v>0</v>
      </c>
      <c r="G100" s="10">
        <f t="shared" si="22"/>
        <v>0</v>
      </c>
      <c r="H100" s="10">
        <f t="shared" si="22"/>
        <v>30000</v>
      </c>
      <c r="I100" s="10">
        <f t="shared" si="22"/>
        <v>0</v>
      </c>
      <c r="J100" s="10">
        <f t="shared" si="22"/>
        <v>0</v>
      </c>
      <c r="K100" s="10">
        <f t="shared" si="22"/>
        <v>0</v>
      </c>
      <c r="L100" s="10">
        <f>+L98</f>
        <v>0</v>
      </c>
      <c r="M100" s="10">
        <f>SUM(M98:M99)</f>
        <v>1440000</v>
      </c>
      <c r="N100" s="10">
        <f>M100/CALC!$A$8*CALC!$A$6</f>
        <v>23349.582702187283</v>
      </c>
      <c r="O100" s="10">
        <f>+M100+N100</f>
        <v>1463349.5827021874</v>
      </c>
      <c r="P100" s="25"/>
      <c r="Q100" s="111">
        <f>(+O100/D100)*(1+CALC!$A$3)</f>
        <v>731.67479135109363</v>
      </c>
    </row>
    <row r="101" spans="1:18" s="7" customFormat="1" ht="11" thickBot="1" x14ac:dyDescent="0.3">
      <c r="A101" s="284" t="s">
        <v>10</v>
      </c>
      <c r="B101" s="285" t="s">
        <v>439</v>
      </c>
      <c r="C101" s="4"/>
      <c r="D101" s="531" t="s">
        <v>405</v>
      </c>
      <c r="E101" s="532"/>
      <c r="F101" s="533"/>
      <c r="G101" s="2"/>
      <c r="H101" s="2"/>
      <c r="I101" s="2"/>
      <c r="J101" s="2"/>
      <c r="K101" s="2"/>
      <c r="L101" s="2"/>
      <c r="M101" s="2"/>
      <c r="N101" s="2"/>
      <c r="O101" s="2"/>
      <c r="P101" s="11"/>
      <c r="Q101" s="16"/>
    </row>
    <row r="102" spans="1:18" s="7" customFormat="1" ht="11" thickBot="1" x14ac:dyDescent="0.3">
      <c r="A102" s="2"/>
      <c r="B102" s="2"/>
      <c r="C102" s="4"/>
      <c r="D102" s="1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1"/>
      <c r="Q102" s="16"/>
    </row>
    <row r="103" spans="1:18" s="7" customFormat="1" ht="11" thickBot="1" x14ac:dyDescent="0.3">
      <c r="A103" s="487" t="s">
        <v>1506</v>
      </c>
      <c r="B103" s="493"/>
      <c r="C103" s="494"/>
      <c r="D103" s="6"/>
      <c r="E103" s="520"/>
      <c r="F103" s="28"/>
      <c r="G103" s="28"/>
      <c r="H103" s="28">
        <f>140000</f>
        <v>140000</v>
      </c>
      <c r="I103" s="28"/>
      <c r="J103" s="28">
        <v>4000000</v>
      </c>
      <c r="K103" s="528">
        <v>25000</v>
      </c>
      <c r="L103" s="28"/>
      <c r="M103" s="28">
        <f>SUM(E103:L103)</f>
        <v>4165000</v>
      </c>
      <c r="N103" s="24">
        <f>M103/CALC!$A$8*CALC!$A$6</f>
        <v>67535.424968479187</v>
      </c>
      <c r="O103" s="28">
        <f>+M103+N103</f>
        <v>4232535.4249684792</v>
      </c>
      <c r="P103" s="37">
        <v>1.3</v>
      </c>
      <c r="Q103" s="38"/>
    </row>
    <row r="104" spans="1:18" s="7" customFormat="1" x14ac:dyDescent="0.25">
      <c r="A104" s="8"/>
      <c r="B104" s="8"/>
      <c r="C104" s="14"/>
      <c r="D104" s="6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23"/>
      <c r="Q104" s="16"/>
    </row>
    <row r="105" spans="1:18" x14ac:dyDescent="0.25">
      <c r="A105" s="7"/>
      <c r="B105" s="3" t="s">
        <v>14</v>
      </c>
      <c r="C105" s="18"/>
      <c r="D105" s="12">
        <f>SUM(D103:D104)</f>
        <v>0</v>
      </c>
      <c r="E105" s="10">
        <f>SUM(E103:E104)</f>
        <v>0</v>
      </c>
      <c r="F105" s="10">
        <f t="shared" ref="F105:K105" si="23">SUM(F103:F104)</f>
        <v>0</v>
      </c>
      <c r="G105" s="10">
        <f t="shared" si="23"/>
        <v>0</v>
      </c>
      <c r="H105" s="10">
        <f t="shared" si="23"/>
        <v>140000</v>
      </c>
      <c r="I105" s="10">
        <f t="shared" si="23"/>
        <v>0</v>
      </c>
      <c r="J105" s="10">
        <f t="shared" si="23"/>
        <v>4000000</v>
      </c>
      <c r="K105" s="10">
        <f t="shared" si="23"/>
        <v>25000</v>
      </c>
      <c r="L105" s="10">
        <f>+L103</f>
        <v>0</v>
      </c>
      <c r="M105" s="10">
        <f>SUM(M103:M104)</f>
        <v>4165000</v>
      </c>
      <c r="N105" s="10">
        <f>M105/CALC!$A$8*CALC!$A$6</f>
        <v>67535.424968479187</v>
      </c>
      <c r="O105" s="10">
        <f>+M105+N105</f>
        <v>4232535.4249684792</v>
      </c>
      <c r="P105" s="25"/>
      <c r="Q105" s="111" t="e">
        <f>(+O105/D105)*(1+CALC!$A$3)</f>
        <v>#DIV/0!</v>
      </c>
    </row>
    <row r="106" spans="1:18" ht="11" thickBot="1" x14ac:dyDescent="0.3">
      <c r="Q106" s="16"/>
    </row>
    <row r="107" spans="1:18" s="7" customFormat="1" ht="11" thickBot="1" x14ac:dyDescent="0.3">
      <c r="A107" s="7" t="s">
        <v>75</v>
      </c>
      <c r="B107" s="58" t="s">
        <v>14</v>
      </c>
      <c r="C107" s="59"/>
      <c r="D107" s="60">
        <f t="shared" ref="D107:F107" si="24">+D9+D24+D48+D54+D61+D69+D76+D94+D82+D100+D105</f>
        <v>657035</v>
      </c>
      <c r="E107" s="60">
        <f t="shared" si="24"/>
        <v>4867373.572891349</v>
      </c>
      <c r="F107" s="60">
        <f t="shared" si="24"/>
        <v>731400</v>
      </c>
      <c r="G107" s="60">
        <f>+G9+G24+G48+G54+G61+G69+G76+G94+G82+G100+G105</f>
        <v>151487.19065523043</v>
      </c>
      <c r="H107" s="60">
        <f t="shared" ref="H107:O107" si="25">+H9+H24+H48+H54+H61+H69+H76+H94+H82+H100+H105</f>
        <v>1508275</v>
      </c>
      <c r="I107" s="60">
        <f t="shared" si="25"/>
        <v>1071528.3</v>
      </c>
      <c r="J107" s="60">
        <f t="shared" si="25"/>
        <v>4000000</v>
      </c>
      <c r="K107" s="60">
        <f t="shared" si="25"/>
        <v>123187.24</v>
      </c>
      <c r="L107" s="60">
        <f t="shared" si="25"/>
        <v>0</v>
      </c>
      <c r="M107" s="60">
        <f t="shared" si="25"/>
        <v>12453251.30354658</v>
      </c>
      <c r="N107" s="60">
        <f t="shared" si="25"/>
        <v>201929.32029394613</v>
      </c>
      <c r="O107" s="60">
        <f t="shared" si="25"/>
        <v>12655180.623840526</v>
      </c>
      <c r="P107" s="61">
        <f t="shared" ref="P107" si="26">+P9+P24+P48+P54+P61+P69+P76+P94+P82</f>
        <v>0</v>
      </c>
      <c r="Q107" s="26"/>
      <c r="R107" s="35"/>
    </row>
    <row r="108" spans="1:18" x14ac:dyDescent="0.25">
      <c r="Q108" s="16"/>
    </row>
    <row r="109" spans="1:18" x14ac:dyDescent="0.25">
      <c r="Q109" s="16"/>
    </row>
    <row r="110" spans="1:18" x14ac:dyDescent="0.25">
      <c r="D110" s="13">
        <f>D107</f>
        <v>657035</v>
      </c>
      <c r="E110" s="13">
        <f t="shared" ref="E110:O110" si="27">E107</f>
        <v>4867373.572891349</v>
      </c>
      <c r="F110" s="13">
        <f t="shared" si="27"/>
        <v>731400</v>
      </c>
      <c r="G110" s="13">
        <f t="shared" si="27"/>
        <v>151487.19065523043</v>
      </c>
      <c r="H110" s="13">
        <f t="shared" si="27"/>
        <v>1508275</v>
      </c>
      <c r="I110" s="13">
        <f t="shared" si="27"/>
        <v>1071528.3</v>
      </c>
      <c r="J110" s="13">
        <f t="shared" si="27"/>
        <v>4000000</v>
      </c>
      <c r="K110" s="13">
        <f t="shared" si="27"/>
        <v>123187.24</v>
      </c>
      <c r="L110" s="13">
        <f t="shared" si="27"/>
        <v>0</v>
      </c>
      <c r="M110" s="13">
        <f t="shared" si="27"/>
        <v>12453251.30354658</v>
      </c>
      <c r="N110" s="13">
        <f t="shared" si="27"/>
        <v>201929.32029394613</v>
      </c>
      <c r="O110" s="13">
        <f t="shared" si="27"/>
        <v>12655180.623840526</v>
      </c>
      <c r="Q110" s="16"/>
    </row>
    <row r="111" spans="1:18" x14ac:dyDescent="0.25">
      <c r="Q111" s="16"/>
    </row>
    <row r="112" spans="1:18" x14ac:dyDescent="0.25">
      <c r="Q112" s="16"/>
    </row>
    <row r="113" spans="17:17" x14ac:dyDescent="0.25">
      <c r="Q113" s="16"/>
    </row>
    <row r="114" spans="17:17" x14ac:dyDescent="0.25">
      <c r="Q114" s="16"/>
    </row>
    <row r="115" spans="17:17" x14ac:dyDescent="0.25">
      <c r="Q115" s="16"/>
    </row>
    <row r="116" spans="17:17" x14ac:dyDescent="0.25">
      <c r="Q116" s="16"/>
    </row>
    <row r="117" spans="17:17" x14ac:dyDescent="0.25">
      <c r="Q117" s="16"/>
    </row>
    <row r="118" spans="17:17" x14ac:dyDescent="0.25">
      <c r="Q118" s="16"/>
    </row>
    <row r="119" spans="17:17" x14ac:dyDescent="0.25">
      <c r="Q119" s="16"/>
    </row>
    <row r="120" spans="17:17" x14ac:dyDescent="0.25">
      <c r="Q120" s="16"/>
    </row>
    <row r="121" spans="17:17" x14ac:dyDescent="0.25">
      <c r="Q121" s="16"/>
    </row>
    <row r="122" spans="17:17" x14ac:dyDescent="0.25">
      <c r="Q122" s="16"/>
    </row>
    <row r="123" spans="17:17" x14ac:dyDescent="0.25">
      <c r="Q123" s="16"/>
    </row>
    <row r="124" spans="17:17" x14ac:dyDescent="0.25">
      <c r="Q124" s="16"/>
    </row>
    <row r="125" spans="17:17" x14ac:dyDescent="0.25">
      <c r="Q125" s="16"/>
    </row>
    <row r="126" spans="17:17" x14ac:dyDescent="0.25">
      <c r="Q126" s="16"/>
    </row>
    <row r="127" spans="17:17" x14ac:dyDescent="0.25">
      <c r="Q127" s="16"/>
    </row>
    <row r="128" spans="17:17" x14ac:dyDescent="0.25">
      <c r="Q128" s="16"/>
    </row>
    <row r="129" spans="17:17" x14ac:dyDescent="0.25">
      <c r="Q129" s="16"/>
    </row>
    <row r="130" spans="17:17" x14ac:dyDescent="0.25">
      <c r="Q130" s="16"/>
    </row>
    <row r="131" spans="17:17" x14ac:dyDescent="0.25">
      <c r="Q131" s="16"/>
    </row>
    <row r="132" spans="17:17" x14ac:dyDescent="0.25">
      <c r="Q132" s="16"/>
    </row>
    <row r="133" spans="17:17" x14ac:dyDescent="0.25">
      <c r="Q133" s="16"/>
    </row>
    <row r="134" spans="17:17" x14ac:dyDescent="0.25">
      <c r="Q134" s="16"/>
    </row>
    <row r="135" spans="17:17" x14ac:dyDescent="0.25">
      <c r="Q135" s="16"/>
    </row>
    <row r="136" spans="17:17" x14ac:dyDescent="0.25">
      <c r="Q136" s="16"/>
    </row>
    <row r="137" spans="17:17" x14ac:dyDescent="0.25">
      <c r="Q137" s="16"/>
    </row>
    <row r="138" spans="17:17" x14ac:dyDescent="0.25">
      <c r="Q138" s="16"/>
    </row>
    <row r="139" spans="17:17" x14ac:dyDescent="0.25">
      <c r="Q139" s="16"/>
    </row>
    <row r="140" spans="17:17" x14ac:dyDescent="0.25">
      <c r="Q140" s="16"/>
    </row>
    <row r="141" spans="17:17" x14ac:dyDescent="0.25">
      <c r="Q141" s="16"/>
    </row>
    <row r="142" spans="17:17" x14ac:dyDescent="0.25">
      <c r="Q142" s="16"/>
    </row>
    <row r="143" spans="17:17" x14ac:dyDescent="0.25">
      <c r="Q143" s="16"/>
    </row>
    <row r="144" spans="17:17" x14ac:dyDescent="0.25">
      <c r="Q144" s="16"/>
    </row>
    <row r="145" spans="6:17" x14ac:dyDescent="0.25">
      <c r="Q145" s="16"/>
    </row>
    <row r="146" spans="6:17" x14ac:dyDescent="0.25">
      <c r="Q146" s="16"/>
    </row>
    <row r="147" spans="6:17" x14ac:dyDescent="0.25">
      <c r="Q147" s="16"/>
    </row>
    <row r="148" spans="6:17" x14ac:dyDescent="0.25">
      <c r="Q148" s="16"/>
    </row>
    <row r="149" spans="6:17" x14ac:dyDescent="0.25">
      <c r="Q149" s="16"/>
    </row>
    <row r="150" spans="6:17" x14ac:dyDescent="0.25">
      <c r="Q150" s="16"/>
    </row>
    <row r="151" spans="6:17" x14ac:dyDescent="0.25">
      <c r="Q151" s="16"/>
    </row>
    <row r="152" spans="6:17" x14ac:dyDescent="0.25">
      <c r="Q152" s="16"/>
    </row>
    <row r="153" spans="6:17" x14ac:dyDescent="0.25">
      <c r="F153" s="2">
        <f>SUM(F144:F152)</f>
        <v>0</v>
      </c>
      <c r="Q153" s="16"/>
    </row>
    <row r="154" spans="6:17" x14ac:dyDescent="0.25">
      <c r="Q154" s="16"/>
    </row>
    <row r="155" spans="6:17" x14ac:dyDescent="0.25">
      <c r="Q155" s="16"/>
    </row>
    <row r="156" spans="6:17" x14ac:dyDescent="0.25">
      <c r="Q156" s="16"/>
    </row>
    <row r="157" spans="6:17" x14ac:dyDescent="0.25">
      <c r="Q157" s="16"/>
    </row>
    <row r="158" spans="6:17" x14ac:dyDescent="0.25">
      <c r="Q158" s="16"/>
    </row>
    <row r="159" spans="6:17" x14ac:dyDescent="0.25">
      <c r="Q159" s="16"/>
    </row>
    <row r="160" spans="6:17" x14ac:dyDescent="0.25">
      <c r="Q160" s="16"/>
    </row>
    <row r="161" spans="17:17" x14ac:dyDescent="0.25">
      <c r="Q161" s="16"/>
    </row>
    <row r="162" spans="17:17" x14ac:dyDescent="0.25">
      <c r="Q162" s="16"/>
    </row>
    <row r="163" spans="17:17" x14ac:dyDescent="0.25">
      <c r="Q163" s="16"/>
    </row>
    <row r="164" spans="17:17" x14ac:dyDescent="0.25">
      <c r="Q164" s="16"/>
    </row>
    <row r="165" spans="17:17" x14ac:dyDescent="0.25">
      <c r="Q165" s="16"/>
    </row>
    <row r="166" spans="17:17" x14ac:dyDescent="0.25">
      <c r="Q166" s="16"/>
    </row>
    <row r="167" spans="17:17" x14ac:dyDescent="0.25">
      <c r="Q167" s="16"/>
    </row>
    <row r="168" spans="17:17" x14ac:dyDescent="0.25">
      <c r="Q168" s="16"/>
    </row>
    <row r="169" spans="17:17" x14ac:dyDescent="0.25">
      <c r="Q169" s="16"/>
    </row>
    <row r="170" spans="17:17" x14ac:dyDescent="0.25">
      <c r="Q170" s="16"/>
    </row>
    <row r="171" spans="17:17" x14ac:dyDescent="0.25">
      <c r="Q171" s="16"/>
    </row>
    <row r="172" spans="17:17" x14ac:dyDescent="0.25">
      <c r="Q172" s="16"/>
    </row>
    <row r="173" spans="17:17" x14ac:dyDescent="0.25">
      <c r="Q173" s="16"/>
    </row>
    <row r="174" spans="17:17" x14ac:dyDescent="0.25">
      <c r="Q174" s="16"/>
    </row>
    <row r="175" spans="17:17" x14ac:dyDescent="0.25">
      <c r="Q175" s="16"/>
    </row>
    <row r="176" spans="17:17" x14ac:dyDescent="0.25">
      <c r="Q176" s="16"/>
    </row>
    <row r="177" spans="17:17" x14ac:dyDescent="0.25">
      <c r="Q177" s="16"/>
    </row>
    <row r="178" spans="17:17" x14ac:dyDescent="0.25">
      <c r="Q178" s="16"/>
    </row>
    <row r="179" spans="17:17" x14ac:dyDescent="0.25">
      <c r="Q179" s="16"/>
    </row>
    <row r="180" spans="17:17" x14ac:dyDescent="0.25">
      <c r="Q180" s="16"/>
    </row>
    <row r="181" spans="17:17" x14ac:dyDescent="0.25">
      <c r="Q181" s="16"/>
    </row>
    <row r="182" spans="17:17" x14ac:dyDescent="0.25">
      <c r="Q182" s="16"/>
    </row>
    <row r="183" spans="17:17" x14ac:dyDescent="0.25">
      <c r="Q183" s="16"/>
    </row>
    <row r="184" spans="17:17" x14ac:dyDescent="0.25">
      <c r="Q184" s="16"/>
    </row>
    <row r="185" spans="17:17" x14ac:dyDescent="0.25">
      <c r="Q185" s="16"/>
    </row>
    <row r="186" spans="17:17" x14ac:dyDescent="0.25">
      <c r="Q186" s="16"/>
    </row>
    <row r="187" spans="17:17" x14ac:dyDescent="0.25">
      <c r="Q187" s="16"/>
    </row>
    <row r="188" spans="17:17" x14ac:dyDescent="0.25">
      <c r="Q188" s="16"/>
    </row>
    <row r="189" spans="17:17" x14ac:dyDescent="0.25">
      <c r="Q189" s="16"/>
    </row>
    <row r="190" spans="17:17" x14ac:dyDescent="0.25">
      <c r="Q190" s="16"/>
    </row>
    <row r="191" spans="17:17" x14ac:dyDescent="0.25">
      <c r="Q191" s="16"/>
    </row>
    <row r="192" spans="17:17" x14ac:dyDescent="0.25">
      <c r="Q192" s="16"/>
    </row>
    <row r="193" spans="17:17" x14ac:dyDescent="0.25">
      <c r="Q193" s="16"/>
    </row>
    <row r="194" spans="17:17" x14ac:dyDescent="0.25">
      <c r="Q194" s="16"/>
    </row>
    <row r="195" spans="17:17" x14ac:dyDescent="0.25">
      <c r="Q195" s="16"/>
    </row>
    <row r="196" spans="17:17" x14ac:dyDescent="0.25">
      <c r="Q196" s="16"/>
    </row>
    <row r="197" spans="17:17" x14ac:dyDescent="0.25">
      <c r="Q197" s="16"/>
    </row>
    <row r="198" spans="17:17" x14ac:dyDescent="0.25">
      <c r="Q198" s="16"/>
    </row>
    <row r="199" spans="17:17" x14ac:dyDescent="0.25">
      <c r="Q199" s="16"/>
    </row>
    <row r="200" spans="17:17" x14ac:dyDescent="0.25">
      <c r="Q200" s="16"/>
    </row>
    <row r="201" spans="17:17" x14ac:dyDescent="0.25">
      <c r="Q201" s="16"/>
    </row>
    <row r="202" spans="17:17" x14ac:dyDescent="0.25">
      <c r="Q202" s="16"/>
    </row>
    <row r="203" spans="17:17" x14ac:dyDescent="0.25">
      <c r="Q203" s="16"/>
    </row>
    <row r="204" spans="17:17" x14ac:dyDescent="0.25">
      <c r="Q204" s="16"/>
    </row>
    <row r="205" spans="17:17" x14ac:dyDescent="0.25">
      <c r="Q205" s="16"/>
    </row>
    <row r="206" spans="17:17" x14ac:dyDescent="0.25">
      <c r="Q206" s="16"/>
    </row>
    <row r="207" spans="17:17" x14ac:dyDescent="0.25">
      <c r="Q207" s="16"/>
    </row>
    <row r="208" spans="17:17" x14ac:dyDescent="0.25">
      <c r="Q208" s="16"/>
    </row>
    <row r="209" spans="17:17" x14ac:dyDescent="0.25">
      <c r="Q209" s="16"/>
    </row>
    <row r="210" spans="17:17" x14ac:dyDescent="0.25">
      <c r="Q210" s="16"/>
    </row>
    <row r="211" spans="17:17" x14ac:dyDescent="0.25">
      <c r="Q211" s="16"/>
    </row>
    <row r="212" spans="17:17" x14ac:dyDescent="0.25">
      <c r="Q212" s="16"/>
    </row>
    <row r="213" spans="17:17" x14ac:dyDescent="0.25">
      <c r="Q213" s="16"/>
    </row>
    <row r="214" spans="17:17" x14ac:dyDescent="0.25">
      <c r="Q214" s="16"/>
    </row>
    <row r="215" spans="17:17" x14ac:dyDescent="0.25">
      <c r="Q215" s="16"/>
    </row>
    <row r="216" spans="17:17" x14ac:dyDescent="0.25">
      <c r="Q216" s="16"/>
    </row>
    <row r="217" spans="17:17" x14ac:dyDescent="0.25">
      <c r="Q217" s="16"/>
    </row>
    <row r="218" spans="17:17" x14ac:dyDescent="0.25">
      <c r="Q218" s="16"/>
    </row>
    <row r="219" spans="17:17" x14ac:dyDescent="0.25">
      <c r="Q219" s="16"/>
    </row>
    <row r="220" spans="17:17" x14ac:dyDescent="0.25">
      <c r="Q220" s="16"/>
    </row>
    <row r="221" spans="17:17" x14ac:dyDescent="0.25">
      <c r="Q221" s="16"/>
    </row>
    <row r="222" spans="17:17" x14ac:dyDescent="0.25">
      <c r="Q222" s="16"/>
    </row>
    <row r="223" spans="17:17" x14ac:dyDescent="0.25">
      <c r="Q223" s="16"/>
    </row>
    <row r="224" spans="17:17" x14ac:dyDescent="0.25">
      <c r="Q224" s="16"/>
    </row>
    <row r="225" spans="17:17" x14ac:dyDescent="0.25">
      <c r="Q225" s="16"/>
    </row>
    <row r="226" spans="17:17" x14ac:dyDescent="0.25">
      <c r="Q226" s="16"/>
    </row>
    <row r="227" spans="17:17" x14ac:dyDescent="0.25">
      <c r="Q227" s="16"/>
    </row>
    <row r="228" spans="17:17" x14ac:dyDescent="0.25">
      <c r="Q228" s="16"/>
    </row>
    <row r="229" spans="17:17" x14ac:dyDescent="0.25">
      <c r="Q229" s="16"/>
    </row>
    <row r="230" spans="17:17" x14ac:dyDescent="0.25">
      <c r="Q230" s="16"/>
    </row>
    <row r="231" spans="17:17" x14ac:dyDescent="0.25">
      <c r="Q231" s="16"/>
    </row>
    <row r="232" spans="17:17" x14ac:dyDescent="0.25">
      <c r="Q232" s="16"/>
    </row>
    <row r="233" spans="17:17" x14ac:dyDescent="0.25">
      <c r="Q233" s="16"/>
    </row>
    <row r="234" spans="17:17" x14ac:dyDescent="0.25">
      <c r="Q234" s="16"/>
    </row>
    <row r="235" spans="17:17" x14ac:dyDescent="0.25">
      <c r="Q235" s="16"/>
    </row>
    <row r="236" spans="17:17" x14ac:dyDescent="0.25">
      <c r="Q236" s="16"/>
    </row>
    <row r="237" spans="17:17" x14ac:dyDescent="0.25">
      <c r="Q237" s="16"/>
    </row>
    <row r="238" spans="17:17" x14ac:dyDescent="0.25">
      <c r="Q238" s="16"/>
    </row>
    <row r="239" spans="17:17" x14ac:dyDescent="0.25">
      <c r="Q239" s="16"/>
    </row>
    <row r="240" spans="17:17" x14ac:dyDescent="0.25">
      <c r="Q240" s="16"/>
    </row>
    <row r="241" spans="17:17" x14ac:dyDescent="0.25">
      <c r="Q241" s="16"/>
    </row>
    <row r="242" spans="17:17" x14ac:dyDescent="0.25">
      <c r="Q242" s="16"/>
    </row>
    <row r="243" spans="17:17" x14ac:dyDescent="0.25">
      <c r="Q243" s="16"/>
    </row>
    <row r="244" spans="17:17" x14ac:dyDescent="0.25">
      <c r="Q244" s="16"/>
    </row>
    <row r="245" spans="17:17" x14ac:dyDescent="0.25">
      <c r="Q245" s="16"/>
    </row>
    <row r="246" spans="17:17" x14ac:dyDescent="0.25">
      <c r="Q246" s="16"/>
    </row>
    <row r="247" spans="17:17" x14ac:dyDescent="0.25">
      <c r="Q247" s="16"/>
    </row>
    <row r="248" spans="17:17" x14ac:dyDescent="0.25">
      <c r="Q248" s="16"/>
    </row>
    <row r="249" spans="17:17" x14ac:dyDescent="0.25">
      <c r="Q249" s="16"/>
    </row>
    <row r="250" spans="17:17" x14ac:dyDescent="0.25">
      <c r="Q250" s="16"/>
    </row>
    <row r="251" spans="17:17" x14ac:dyDescent="0.25">
      <c r="Q251" s="16"/>
    </row>
    <row r="252" spans="17:17" x14ac:dyDescent="0.25">
      <c r="Q252" s="16"/>
    </row>
    <row r="253" spans="17:17" x14ac:dyDescent="0.25">
      <c r="Q253" s="16"/>
    </row>
    <row r="254" spans="17:17" x14ac:dyDescent="0.25">
      <c r="Q254" s="16"/>
    </row>
    <row r="255" spans="17:17" x14ac:dyDescent="0.25">
      <c r="Q255" s="16"/>
    </row>
    <row r="256" spans="17:17" x14ac:dyDescent="0.25">
      <c r="Q256" s="16"/>
    </row>
    <row r="257" spans="17:17" x14ac:dyDescent="0.25">
      <c r="Q257" s="16"/>
    </row>
    <row r="258" spans="17:17" x14ac:dyDescent="0.25">
      <c r="Q258" s="16"/>
    </row>
    <row r="259" spans="17:17" x14ac:dyDescent="0.25">
      <c r="Q259" s="16"/>
    </row>
    <row r="260" spans="17:17" x14ac:dyDescent="0.25">
      <c r="Q260" s="16"/>
    </row>
    <row r="261" spans="17:17" x14ac:dyDescent="0.25">
      <c r="Q261" s="16"/>
    </row>
    <row r="262" spans="17:17" x14ac:dyDescent="0.25">
      <c r="Q262" s="16"/>
    </row>
    <row r="263" spans="17:17" x14ac:dyDescent="0.25">
      <c r="Q263" s="16"/>
    </row>
    <row r="264" spans="17:17" x14ac:dyDescent="0.25">
      <c r="Q264" s="16"/>
    </row>
    <row r="265" spans="17:17" x14ac:dyDescent="0.25">
      <c r="Q265" s="16"/>
    </row>
    <row r="266" spans="17:17" x14ac:dyDescent="0.25">
      <c r="Q266" s="16"/>
    </row>
    <row r="267" spans="17:17" x14ac:dyDescent="0.25">
      <c r="Q267" s="16"/>
    </row>
    <row r="268" spans="17:17" x14ac:dyDescent="0.25">
      <c r="Q268" s="16"/>
    </row>
    <row r="269" spans="17:17" x14ac:dyDescent="0.25">
      <c r="Q269" s="16"/>
    </row>
    <row r="270" spans="17:17" x14ac:dyDescent="0.25">
      <c r="Q270" s="16"/>
    </row>
    <row r="271" spans="17:17" x14ac:dyDescent="0.25">
      <c r="Q271" s="16"/>
    </row>
    <row r="272" spans="17:17" x14ac:dyDescent="0.25">
      <c r="Q272" s="16"/>
    </row>
    <row r="273" spans="17:17" x14ac:dyDescent="0.25">
      <c r="Q273" s="16"/>
    </row>
    <row r="274" spans="17:17" x14ac:dyDescent="0.25">
      <c r="Q274" s="16"/>
    </row>
    <row r="275" spans="17:17" x14ac:dyDescent="0.25">
      <c r="Q275" s="16"/>
    </row>
    <row r="276" spans="17:17" x14ac:dyDescent="0.25">
      <c r="Q276" s="16"/>
    </row>
    <row r="277" spans="17:17" x14ac:dyDescent="0.25">
      <c r="Q277" s="16"/>
    </row>
    <row r="278" spans="17:17" x14ac:dyDescent="0.25">
      <c r="Q278" s="16"/>
    </row>
    <row r="279" spans="17:17" x14ac:dyDescent="0.25">
      <c r="Q279" s="16"/>
    </row>
    <row r="280" spans="17:17" x14ac:dyDescent="0.25">
      <c r="Q280" s="16"/>
    </row>
    <row r="281" spans="17:17" x14ac:dyDescent="0.25">
      <c r="Q281" s="16"/>
    </row>
    <row r="282" spans="17:17" x14ac:dyDescent="0.25">
      <c r="Q282" s="16"/>
    </row>
    <row r="283" spans="17:17" x14ac:dyDescent="0.25">
      <c r="Q283" s="16"/>
    </row>
    <row r="284" spans="17:17" x14ac:dyDescent="0.25">
      <c r="Q284" s="16"/>
    </row>
  </sheetData>
  <customSheetViews>
    <customSheetView guid="{6C0BD6A7-6718-429D-82D9-D2FE0341EA2C}" showPageBreaks="1" printArea="1" hiddenColumns="1" view="pageBreakPreview">
      <pane xSplit="3" ySplit="3" topLeftCell="D73" activePane="bottomRight" state="frozen"/>
      <selection pane="bottomRight" activeCell="H75" sqref="H75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F17" sqref="F17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view="pageBreakPreview">
      <pane xSplit="3" ySplit="3" topLeftCell="D4" activePane="bottomRight" state="frozen"/>
      <selection pane="bottomRight" activeCell="F13" sqref="F13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9">
    <mergeCell ref="D5:F5"/>
    <mergeCell ref="D71:F71"/>
    <mergeCell ref="D11:F11"/>
    <mergeCell ref="D84:F84"/>
    <mergeCell ref="D27:F27"/>
    <mergeCell ref="D50:F50"/>
    <mergeCell ref="D57:F57"/>
    <mergeCell ref="D64:F64"/>
    <mergeCell ref="D78:F78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  <rowBreaks count="1" manualBreakCount="1">
    <brk id="5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48"/>
  </sheetPr>
  <dimension ref="A1:V402"/>
  <sheetViews>
    <sheetView tabSelected="1"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54" sqref="E54"/>
    </sheetView>
  </sheetViews>
  <sheetFormatPr defaultColWidth="9.1796875" defaultRowHeight="10.5" x14ac:dyDescent="0.25"/>
  <cols>
    <col min="1" max="1" width="28.1796875" style="2" bestFit="1" customWidth="1"/>
    <col min="2" max="2" width="14" style="2" bestFit="1" customWidth="1"/>
    <col min="3" max="3" width="4.453125" style="4" bestFit="1" customWidth="1"/>
    <col min="4" max="4" width="8.7265625" style="13" bestFit="1" customWidth="1"/>
    <col min="5" max="5" width="14" style="2" bestFit="1" customWidth="1"/>
    <col min="6" max="10" width="13.1796875" style="2" bestFit="1" customWidth="1"/>
    <col min="11" max="11" width="11.26953125" style="2" bestFit="1" customWidth="1"/>
    <col min="12" max="12" width="13.1796875" style="2" bestFit="1" customWidth="1"/>
    <col min="13" max="13" width="14.81640625" style="2" bestFit="1" customWidth="1"/>
    <col min="14" max="14" width="13.1796875" style="2" bestFit="1" customWidth="1"/>
    <col min="15" max="15" width="14" style="2" bestFit="1" customWidth="1"/>
    <col min="16" max="16" width="11.26953125" style="11" hidden="1" customWidth="1"/>
    <col min="17" max="17" width="12.26953125" style="21" bestFit="1" customWidth="1"/>
    <col min="18" max="18" width="9.1796875" style="2"/>
    <col min="19" max="21" width="14" style="2" bestFit="1" customWidth="1"/>
    <col min="22" max="22" width="13.1796875" style="2" bestFit="1" customWidth="1"/>
    <col min="23" max="16384" width="9.1796875" style="2"/>
  </cols>
  <sheetData>
    <row r="1" spans="1:17" x14ac:dyDescent="0.25">
      <c r="A1" s="7" t="s">
        <v>1560</v>
      </c>
      <c r="D1" s="13" t="s">
        <v>21</v>
      </c>
    </row>
    <row r="3" spans="1:17" ht="25.5" customHeight="1" x14ac:dyDescent="0.25">
      <c r="A3" s="294" t="s">
        <v>1</v>
      </c>
      <c r="B3" s="294" t="s">
        <v>0</v>
      </c>
      <c r="C3" s="295" t="s">
        <v>2</v>
      </c>
      <c r="D3" s="296" t="s">
        <v>3</v>
      </c>
      <c r="E3" s="297" t="s">
        <v>145</v>
      </c>
      <c r="F3" s="297" t="s">
        <v>1450</v>
      </c>
      <c r="G3" s="297" t="s">
        <v>131</v>
      </c>
      <c r="H3" s="297" t="s">
        <v>147</v>
      </c>
      <c r="I3" s="297" t="s">
        <v>137</v>
      </c>
      <c r="J3" s="297" t="s">
        <v>138</v>
      </c>
      <c r="K3" s="297" t="s">
        <v>134</v>
      </c>
      <c r="L3" s="294" t="str">
        <f>+mayor!L3</f>
        <v>INTEREST</v>
      </c>
      <c r="M3" s="294" t="s">
        <v>12</v>
      </c>
      <c r="N3" s="297" t="s">
        <v>146</v>
      </c>
      <c r="O3" s="297" t="s">
        <v>135</v>
      </c>
      <c r="P3" s="300" t="s">
        <v>63</v>
      </c>
      <c r="Q3" s="301" t="s">
        <v>11</v>
      </c>
    </row>
    <row r="4" spans="1:17" ht="11" thickBot="1" x14ac:dyDescent="0.3"/>
    <row r="5" spans="1:17" ht="11" thickBot="1" x14ac:dyDescent="0.3">
      <c r="A5" s="284" t="s">
        <v>10</v>
      </c>
      <c r="B5" s="285" t="s">
        <v>440</v>
      </c>
      <c r="D5" s="541" t="s">
        <v>210</v>
      </c>
      <c r="E5" s="542"/>
      <c r="F5" s="543"/>
    </row>
    <row r="6" spans="1:17" x14ac:dyDescent="0.25">
      <c r="Q6" s="16"/>
    </row>
    <row r="7" spans="1:17" x14ac:dyDescent="0.25">
      <c r="A7" s="483" t="str">
        <f>+'1-10'!C17</f>
        <v>ISUZU KB200i 2x4 [103]</v>
      </c>
      <c r="B7" s="483" t="str">
        <f>+'1-10'!R17</f>
        <v>CMB 471 L</v>
      </c>
      <c r="C7" s="484">
        <v>616</v>
      </c>
      <c r="D7" s="6">
        <v>40000</v>
      </c>
      <c r="E7" s="520">
        <f>+D7/P7*(CALC!$A$4)*1.01</f>
        <v>142338.83058470767</v>
      </c>
      <c r="F7" s="28">
        <v>23400</v>
      </c>
      <c r="G7" s="28">
        <f>CALC!$A$23*(CEM!I7/CEM!I$148)</f>
        <v>2176.3023664387702</v>
      </c>
      <c r="H7" s="28">
        <v>35000</v>
      </c>
      <c r="I7" s="28">
        <v>15393.84</v>
      </c>
      <c r="J7" s="28"/>
      <c r="K7" s="528">
        <f>678*1.06</f>
        <v>718.68000000000006</v>
      </c>
      <c r="L7" s="28"/>
      <c r="M7" s="28">
        <f>SUM(E7:L7)</f>
        <v>219027.65295114642</v>
      </c>
      <c r="N7" s="24">
        <f>M7/CALC!$A$8*CALC!$A$6</f>
        <v>3551.5307615616439</v>
      </c>
      <c r="O7" s="28">
        <f>+M7+N7</f>
        <v>222579.18371270807</v>
      </c>
      <c r="P7" s="37">
        <v>6.67</v>
      </c>
      <c r="Q7" s="38"/>
    </row>
    <row r="8" spans="1:17" x14ac:dyDescent="0.25">
      <c r="A8" s="483" t="str">
        <f>+'1-10'!C21</f>
        <v>ISUZU KB200i 2x4 [103]</v>
      </c>
      <c r="B8" s="483" t="str">
        <f>+'1-10'!R21</f>
        <v>CMB 598 L</v>
      </c>
      <c r="C8" s="484">
        <v>620</v>
      </c>
      <c r="D8" s="6">
        <v>10000</v>
      </c>
      <c r="E8" s="520">
        <f>+D8/P8*(CALC!$A$4)*1.01</f>
        <v>35584.707646176917</v>
      </c>
      <c r="F8" s="28">
        <v>23400</v>
      </c>
      <c r="G8" s="28">
        <f>CALC!$A$23*(CEM!I8/CEM!I$148)</f>
        <v>2176.3023664387702</v>
      </c>
      <c r="H8" s="28">
        <v>35000</v>
      </c>
      <c r="I8" s="28">
        <v>15393.84</v>
      </c>
      <c r="J8" s="28"/>
      <c r="K8" s="528">
        <f>678*1.06</f>
        <v>718.68000000000006</v>
      </c>
      <c r="L8" s="28"/>
      <c r="M8" s="28">
        <f>SUM(E8:L8)</f>
        <v>112273.53001261568</v>
      </c>
      <c r="N8" s="24">
        <f>M8/CALC!$A$8*CALC!$A$6</f>
        <v>1820.5139404833858</v>
      </c>
      <c r="O8" s="28">
        <f>+M8+N8</f>
        <v>114094.04395309907</v>
      </c>
      <c r="P8" s="37">
        <v>6.67</v>
      </c>
      <c r="Q8" s="38"/>
    </row>
    <row r="9" spans="1:17" s="7" customFormat="1" x14ac:dyDescent="0.25">
      <c r="B9" s="3" t="s">
        <v>14</v>
      </c>
      <c r="C9" s="18"/>
      <c r="D9" s="12">
        <f t="shared" ref="D9:K9" si="0">SUM(D7:D8)</f>
        <v>50000</v>
      </c>
      <c r="E9" s="24">
        <f t="shared" si="0"/>
        <v>177923.53823088459</v>
      </c>
      <c r="F9" s="24">
        <f t="shared" si="0"/>
        <v>46800</v>
      </c>
      <c r="G9" s="24">
        <f t="shared" si="0"/>
        <v>4352.6047328775403</v>
      </c>
      <c r="H9" s="24">
        <f t="shared" si="0"/>
        <v>70000</v>
      </c>
      <c r="I9" s="24">
        <f t="shared" si="0"/>
        <v>30787.68</v>
      </c>
      <c r="J9" s="24">
        <f t="shared" si="0"/>
        <v>0</v>
      </c>
      <c r="K9" s="24">
        <f t="shared" si="0"/>
        <v>1437.3600000000001</v>
      </c>
      <c r="L9" s="24">
        <f>+L7+L8</f>
        <v>0</v>
      </c>
      <c r="M9" s="24">
        <f>SUM(M7:M8)</f>
        <v>331301.18296376208</v>
      </c>
      <c r="N9" s="24">
        <f>SUM(N7:N8)</f>
        <v>5372.0447020450301</v>
      </c>
      <c r="O9" s="24">
        <f>SUM(O7:O8)</f>
        <v>336673.22766580712</v>
      </c>
      <c r="P9" s="39"/>
      <c r="Q9" s="313">
        <f>(+O9/D9)*(1+CALC!$A$3)</f>
        <v>6.7334645533161428</v>
      </c>
    </row>
    <row r="10" spans="1:17" ht="11" thickBot="1" x14ac:dyDescent="0.3">
      <c r="Q10" s="16"/>
    </row>
    <row r="11" spans="1:17" ht="11" thickBot="1" x14ac:dyDescent="0.3">
      <c r="A11" s="284" t="s">
        <v>10</v>
      </c>
      <c r="B11" s="285" t="s">
        <v>441</v>
      </c>
      <c r="D11" s="541" t="s">
        <v>237</v>
      </c>
      <c r="E11" s="542"/>
      <c r="F11" s="543"/>
      <c r="Q11" s="16"/>
    </row>
    <row r="12" spans="1:17" x14ac:dyDescent="0.25">
      <c r="Q12" s="16"/>
    </row>
    <row r="13" spans="1:17" x14ac:dyDescent="0.25">
      <c r="A13" s="483" t="str">
        <f>+'1-10'!C43</f>
        <v>NISSAN NP 300 4X4 [063]</v>
      </c>
      <c r="B13" s="483" t="str">
        <f>+'1-10'!R43</f>
        <v>CLW 537 L</v>
      </c>
      <c r="C13" s="484">
        <v>642</v>
      </c>
      <c r="D13" s="6">
        <v>40000</v>
      </c>
      <c r="E13" s="520">
        <f>+D13/P13*(CALC!$A$4)*1.2</f>
        <v>124092.40924092408</v>
      </c>
      <c r="F13" s="28">
        <v>23400</v>
      </c>
      <c r="G13" s="28">
        <f>CALC!$A$23*(CEM!I13/CEM!I$148)</f>
        <v>3053.4699118782232</v>
      </c>
      <c r="H13" s="28">
        <v>35000</v>
      </c>
      <c r="I13" s="28">
        <v>21598.39</v>
      </c>
      <c r="J13" s="28"/>
      <c r="K13" s="528">
        <f>678*1.06</f>
        <v>718.68000000000006</v>
      </c>
      <c r="L13" s="28"/>
      <c r="M13" s="28">
        <f>SUM(E13:L13)</f>
        <v>207862.94915280229</v>
      </c>
      <c r="N13" s="28">
        <f>M13/CALC!$A$8*CALC!$A$6</f>
        <v>3370.495223586046</v>
      </c>
      <c r="O13" s="28">
        <f>+M13+N13</f>
        <v>211233.44437638833</v>
      </c>
      <c r="P13" s="37">
        <v>9.09</v>
      </c>
      <c r="Q13" s="38"/>
    </row>
    <row r="14" spans="1:17" x14ac:dyDescent="0.25">
      <c r="A14" s="483" t="str">
        <f>+'1-10'!C44</f>
        <v>NISSAN NP 300 4X4 [063]</v>
      </c>
      <c r="B14" s="483" t="str">
        <f>+'1-10'!R44</f>
        <v>CLW 553 L</v>
      </c>
      <c r="C14" s="484">
        <v>643</v>
      </c>
      <c r="D14" s="6">
        <v>63700</v>
      </c>
      <c r="E14" s="520">
        <f>+D14/P14*(CALC!$A$4)*1.01</f>
        <v>166327.77777777778</v>
      </c>
      <c r="F14" s="28">
        <v>23400</v>
      </c>
      <c r="G14" s="28">
        <f>CALC!$A$23*(CEM!I14/CEM!I$148)</f>
        <v>4184.468995375918</v>
      </c>
      <c r="H14" s="28">
        <v>35000</v>
      </c>
      <c r="I14" s="28">
        <v>29598.39</v>
      </c>
      <c r="J14" s="28"/>
      <c r="K14" s="528">
        <f>678*1.06</f>
        <v>718.68000000000006</v>
      </c>
      <c r="L14" s="28"/>
      <c r="M14" s="28">
        <f>SUM(E14:L14)</f>
        <v>259229.31677315367</v>
      </c>
      <c r="N14" s="28">
        <f>M14/CALC!$A$8*CALC!$A$6</f>
        <v>4203.400257518234</v>
      </c>
      <c r="O14" s="28">
        <f>+M14+N14</f>
        <v>263432.71703067189</v>
      </c>
      <c r="P14" s="37">
        <v>9.09</v>
      </c>
      <c r="Q14" s="38"/>
    </row>
    <row r="15" spans="1:17" x14ac:dyDescent="0.25">
      <c r="A15" s="483" t="str">
        <f>+'1-10'!C45</f>
        <v>NISSAN NP 300 4X4 [073]</v>
      </c>
      <c r="B15" s="483" t="str">
        <f>+'1-10'!R45</f>
        <v>CLW 533 L</v>
      </c>
      <c r="C15" s="484">
        <v>644</v>
      </c>
      <c r="D15" s="6">
        <v>10000</v>
      </c>
      <c r="E15" s="520">
        <f>+D15/P15*(CALC!$A$4)*1.01</f>
        <v>26111.111111111109</v>
      </c>
      <c r="F15" s="28">
        <v>23400</v>
      </c>
      <c r="G15" s="28">
        <f>CALC!$A$23*(CEM!I15/CEM!I$148)</f>
        <v>3054.5457747564001</v>
      </c>
      <c r="H15" s="28">
        <v>35000</v>
      </c>
      <c r="I15" s="28">
        <v>21606</v>
      </c>
      <c r="J15" s="502"/>
      <c r="K15" s="528">
        <f>678*1.06</f>
        <v>718.68000000000006</v>
      </c>
      <c r="L15" s="28"/>
      <c r="M15" s="28">
        <f>SUM(E15:L15)</f>
        <v>109890.33688586749</v>
      </c>
      <c r="N15" s="28">
        <f>M15/CALC!$A$8*CALC!$A$6</f>
        <v>1781.8704925609616</v>
      </c>
      <c r="O15" s="28">
        <f>+M15+N15</f>
        <v>111672.20737842846</v>
      </c>
      <c r="P15" s="37">
        <v>9.09</v>
      </c>
      <c r="Q15" s="38"/>
    </row>
    <row r="16" spans="1:17" s="7" customFormat="1" x14ac:dyDescent="0.25">
      <c r="B16" s="3" t="s">
        <v>14</v>
      </c>
      <c r="C16" s="18"/>
      <c r="D16" s="12">
        <f>+D13+D14+D15</f>
        <v>113700</v>
      </c>
      <c r="E16" s="24">
        <f>+E13+E14+E15</f>
        <v>316531.29812981299</v>
      </c>
      <c r="F16" s="24">
        <f t="shared" ref="F16:O16" si="1">+F13+F14+F15</f>
        <v>70200</v>
      </c>
      <c r="G16" s="24">
        <f t="shared" si="1"/>
        <v>10292.484682010541</v>
      </c>
      <c r="H16" s="24">
        <f t="shared" si="1"/>
        <v>105000</v>
      </c>
      <c r="I16" s="24">
        <f t="shared" si="1"/>
        <v>72802.78</v>
      </c>
      <c r="J16" s="24">
        <f t="shared" si="1"/>
        <v>0</v>
      </c>
      <c r="K16" s="24">
        <f>SUM(K13:K15)</f>
        <v>2156.04</v>
      </c>
      <c r="L16" s="24">
        <f t="shared" si="1"/>
        <v>0</v>
      </c>
      <c r="M16" s="24">
        <f t="shared" si="1"/>
        <v>576982.60281182348</v>
      </c>
      <c r="N16" s="24">
        <f t="shared" si="1"/>
        <v>9355.7659736652422</v>
      </c>
      <c r="O16" s="24">
        <f t="shared" si="1"/>
        <v>586338.36878548865</v>
      </c>
      <c r="P16" s="39"/>
      <c r="Q16" s="313">
        <f>(+O16/D16)*(1+CALC!$A$3)</f>
        <v>5.1568897870315622</v>
      </c>
    </row>
    <row r="17" spans="1:17" ht="11" thickBot="1" x14ac:dyDescent="0.3">
      <c r="Q17" s="16"/>
    </row>
    <row r="18" spans="1:17" ht="11" thickBot="1" x14ac:dyDescent="0.3">
      <c r="A18" s="284" t="s">
        <v>10</v>
      </c>
      <c r="B18" s="285" t="s">
        <v>442</v>
      </c>
      <c r="D18" s="541" t="s">
        <v>635</v>
      </c>
      <c r="E18" s="542"/>
      <c r="F18" s="543"/>
      <c r="Q18" s="16"/>
    </row>
    <row r="19" spans="1:17" x14ac:dyDescent="0.25">
      <c r="Q19" s="16"/>
    </row>
    <row r="20" spans="1:17" x14ac:dyDescent="0.25">
      <c r="A20" s="483" t="str">
        <f>+'1-10'!C52</f>
        <v>TOYOTA DYNA 150 [063]</v>
      </c>
      <c r="B20" s="483" t="str">
        <f>+'1-10'!R52</f>
        <v>CMN 314 L</v>
      </c>
      <c r="C20" s="484">
        <v>651</v>
      </c>
      <c r="D20" s="6">
        <v>30000</v>
      </c>
      <c r="E20" s="520">
        <f>+D20/P20*(CALC!$A$4)</f>
        <v>100714.28571428571</v>
      </c>
      <c r="F20" s="28">
        <v>23400</v>
      </c>
      <c r="G20" s="28">
        <f>CALC!$A$23*(CEM!I20/CEM!I$148)</f>
        <v>1988.7643396597452</v>
      </c>
      <c r="H20" s="28">
        <v>40000</v>
      </c>
      <c r="I20" s="28">
        <v>14067.31</v>
      </c>
      <c r="J20" s="28"/>
      <c r="K20" s="528">
        <f>1110*1.06</f>
        <v>1176.6000000000001</v>
      </c>
      <c r="L20" s="28"/>
      <c r="M20" s="28">
        <f>SUM(E20:L20)</f>
        <v>181346.96005394546</v>
      </c>
      <c r="N20" s="28">
        <f>M20/CALC!$A$8*CALC!$A$6</f>
        <v>2940.5387788679532</v>
      </c>
      <c r="O20" s="28">
        <f>+M20+N20</f>
        <v>184287.49883281341</v>
      </c>
      <c r="P20" s="37">
        <v>7</v>
      </c>
      <c r="Q20" s="38"/>
    </row>
    <row r="21" spans="1:17" x14ac:dyDescent="0.25">
      <c r="A21" s="483" t="str">
        <f>+'1-10'!C53</f>
        <v>TOYOTA DYNA 150 [105]</v>
      </c>
      <c r="B21" s="483" t="str">
        <f>+'1-10'!R53</f>
        <v>CML 499 L</v>
      </c>
      <c r="C21" s="484">
        <v>652</v>
      </c>
      <c r="D21" s="6">
        <v>10000</v>
      </c>
      <c r="E21" s="520">
        <f>+D21/P21*(CALC!$A$4)</f>
        <v>33571.428571428572</v>
      </c>
      <c r="F21" s="28">
        <v>23400</v>
      </c>
      <c r="G21" s="28">
        <f>CALC!$A$23*(CEM!I21/CEM!I$148)</f>
        <v>1988.7643396597452</v>
      </c>
      <c r="H21" s="28">
        <v>40000</v>
      </c>
      <c r="I21" s="28">
        <v>14067.31</v>
      </c>
      <c r="J21" s="502"/>
      <c r="K21" s="528">
        <f t="shared" ref="K21:K22" si="2">1110*1.06</f>
        <v>1176.6000000000001</v>
      </c>
      <c r="L21" s="28"/>
      <c r="M21" s="28">
        <f>SUM(E21:L21)</f>
        <v>114204.10291108832</v>
      </c>
      <c r="N21" s="28">
        <f>M21/CALC!$A$8*CALC!$A$6</f>
        <v>1851.818156841364</v>
      </c>
      <c r="O21" s="28">
        <f>+M21+N21</f>
        <v>116055.9210679297</v>
      </c>
      <c r="P21" s="37">
        <v>7</v>
      </c>
      <c r="Q21" s="38"/>
    </row>
    <row r="22" spans="1:17" x14ac:dyDescent="0.25">
      <c r="A22" s="483" t="str">
        <f>+'1-10'!C56</f>
        <v>TOYOTA DYNA 150 [103]</v>
      </c>
      <c r="B22" s="483" t="str">
        <f>+'1-10'!R56</f>
        <v>CML 497 L</v>
      </c>
      <c r="C22" s="484">
        <v>655</v>
      </c>
      <c r="D22" s="6">
        <f>+'1-10'!K85</f>
        <v>10000</v>
      </c>
      <c r="E22" s="520">
        <f>+D22/P22*(CALC!$A$4)</f>
        <v>33571.428571428572</v>
      </c>
      <c r="F22" s="28">
        <v>23400</v>
      </c>
      <c r="G22" s="28">
        <f>CALC!$A$23*(CEM!I22/CEM!I$148)</f>
        <v>3107.5231855762868</v>
      </c>
      <c r="H22" s="28">
        <v>40000</v>
      </c>
      <c r="I22" s="28">
        <v>21980.73</v>
      </c>
      <c r="J22" s="28"/>
      <c r="K22" s="528">
        <f t="shared" si="2"/>
        <v>1176.6000000000001</v>
      </c>
      <c r="L22" s="28"/>
      <c r="M22" s="28">
        <f>SUM(E22:L22)</f>
        <v>123236.28175700486</v>
      </c>
      <c r="N22" s="28">
        <f>M22/CALC!$A$8*CALC!$A$6</f>
        <v>1998.274828330027</v>
      </c>
      <c r="O22" s="28">
        <f>+M22+N22</f>
        <v>125234.5565853349</v>
      </c>
      <c r="P22" s="37">
        <v>7</v>
      </c>
      <c r="Q22" s="38"/>
    </row>
    <row r="23" spans="1:17" s="7" customFormat="1" x14ac:dyDescent="0.25">
      <c r="B23" s="3" t="s">
        <v>14</v>
      </c>
      <c r="C23" s="18"/>
      <c r="D23" s="12">
        <f>+D20+D21+D22</f>
        <v>50000</v>
      </c>
      <c r="E23" s="10">
        <f>+E20+E21+E22</f>
        <v>167857.14285714287</v>
      </c>
      <c r="F23" s="10">
        <f t="shared" ref="F23:O23" si="3">+F20+F21+F22</f>
        <v>70200</v>
      </c>
      <c r="G23" s="10">
        <f t="shared" si="3"/>
        <v>7085.0518648957768</v>
      </c>
      <c r="H23" s="10">
        <f t="shared" si="3"/>
        <v>120000</v>
      </c>
      <c r="I23" s="10">
        <f t="shared" si="3"/>
        <v>50115.35</v>
      </c>
      <c r="J23" s="10">
        <f t="shared" si="3"/>
        <v>0</v>
      </c>
      <c r="K23" s="10">
        <f t="shared" si="3"/>
        <v>3529.8</v>
      </c>
      <c r="L23" s="24">
        <f t="shared" si="3"/>
        <v>0</v>
      </c>
      <c r="M23" s="10">
        <f t="shared" si="3"/>
        <v>418787.34472203866</v>
      </c>
      <c r="N23" s="10">
        <f t="shared" si="3"/>
        <v>6790.6317640393445</v>
      </c>
      <c r="O23" s="10">
        <f t="shared" si="3"/>
        <v>425577.976486078</v>
      </c>
      <c r="P23" s="25"/>
      <c r="Q23" s="111">
        <f>(+O23/D23)*(1+CALC!$A$3)</f>
        <v>8.5115595297215592</v>
      </c>
    </row>
    <row r="24" spans="1:17" ht="11" thickBot="1" x14ac:dyDescent="0.3">
      <c r="Q24" s="16"/>
    </row>
    <row r="25" spans="1:17" ht="11" thickBot="1" x14ac:dyDescent="0.3">
      <c r="A25" s="284" t="s">
        <v>10</v>
      </c>
      <c r="B25" s="285" t="s">
        <v>443</v>
      </c>
      <c r="D25" s="541" t="s">
        <v>636</v>
      </c>
      <c r="E25" s="542"/>
      <c r="F25" s="543"/>
      <c r="Q25" s="16"/>
    </row>
    <row r="26" spans="1:17" x14ac:dyDescent="0.25">
      <c r="Q26" s="16"/>
    </row>
    <row r="27" spans="1:17" x14ac:dyDescent="0.25">
      <c r="A27" s="500" t="str">
        <f>+'1-10'!C62</f>
        <v>NISSAN   UD 40A M02 [063]</v>
      </c>
      <c r="B27" s="483" t="str">
        <f>+'1-10'!R62</f>
        <v>CMJ 507 L</v>
      </c>
      <c r="C27" s="484">
        <v>661</v>
      </c>
      <c r="D27" s="6">
        <v>13000</v>
      </c>
      <c r="E27" s="520">
        <f>+D27/P27*(CALC!$A$4)</f>
        <v>152750</v>
      </c>
      <c r="F27" s="28">
        <v>23400</v>
      </c>
      <c r="G27" s="28">
        <f>CALC!$A$23*(CEM!I27/CEM!I$148)</f>
        <v>4145.4693194792089</v>
      </c>
      <c r="H27" s="28">
        <v>40000</v>
      </c>
      <c r="I27" s="28">
        <v>29322.53</v>
      </c>
      <c r="J27" s="28"/>
      <c r="K27" s="528">
        <f>1932*1.06</f>
        <v>2047.92</v>
      </c>
      <c r="L27" s="28"/>
      <c r="M27" s="28">
        <f>SUM(E27:L27)</f>
        <v>251665.91931947923</v>
      </c>
      <c r="N27" s="28">
        <f>M27/CALC!$A$8*CALC!$A$6</f>
        <v>4080.7598586612303</v>
      </c>
      <c r="O27" s="28">
        <f>+M27+N27</f>
        <v>255746.67917814048</v>
      </c>
      <c r="P27" s="37">
        <v>2</v>
      </c>
      <c r="Q27" s="38"/>
    </row>
    <row r="28" spans="1:17" x14ac:dyDescent="0.25">
      <c r="A28" s="500" t="str">
        <f>+'1-10'!C68</f>
        <v>NISSAN   UD 40A M02 [063]</v>
      </c>
      <c r="B28" s="483" t="str">
        <f>+'1-10'!R68</f>
        <v>CNK 299 L</v>
      </c>
      <c r="C28" s="484">
        <v>667</v>
      </c>
      <c r="D28" s="6">
        <v>8000</v>
      </c>
      <c r="E28" s="520">
        <f>+D28/P28*(CALC!$A$4)</f>
        <v>94000</v>
      </c>
      <c r="F28" s="28">
        <v>23400</v>
      </c>
      <c r="G28" s="28">
        <f>CALC!$A$23*(CEM!I28/CEM!I$148)</f>
        <v>3177.6479562508525</v>
      </c>
      <c r="H28" s="28">
        <v>40000</v>
      </c>
      <c r="I28" s="28">
        <v>22476.75</v>
      </c>
      <c r="J28" s="28"/>
      <c r="K28" s="528">
        <f t="shared" ref="K28:K30" si="4">1932*1.06</f>
        <v>2047.92</v>
      </c>
      <c r="L28" s="28"/>
      <c r="M28" s="28">
        <f>SUM(E28:L28)</f>
        <v>185102.31795625086</v>
      </c>
      <c r="N28" s="28">
        <f>M28/CALC!$A$8*CALC!$A$6</f>
        <v>3001.4318621430871</v>
      </c>
      <c r="O28" s="28">
        <f>+M28+N28</f>
        <v>188103.74981839396</v>
      </c>
      <c r="P28" s="37">
        <v>2</v>
      </c>
      <c r="Q28" s="38"/>
    </row>
    <row r="29" spans="1:17" x14ac:dyDescent="0.25">
      <c r="A29" s="500" t="str">
        <f>+'1-10'!C69</f>
        <v>NISSAN   UD 40A M02 [103]</v>
      </c>
      <c r="B29" s="483" t="str">
        <f>+'1-10'!R69</f>
        <v>CMP 207 L</v>
      </c>
      <c r="C29" s="484">
        <v>668</v>
      </c>
      <c r="D29" s="6">
        <v>8000</v>
      </c>
      <c r="E29" s="520">
        <f>+D29/P29*(CALC!$A$4)</f>
        <v>94000</v>
      </c>
      <c r="F29" s="28">
        <v>23400</v>
      </c>
      <c r="G29" s="28">
        <f>CALC!$A$23*(CEM!I29/CEM!I$148)</f>
        <v>4145.4693194792089</v>
      </c>
      <c r="H29" s="28">
        <v>40000</v>
      </c>
      <c r="I29" s="28">
        <v>29322.53</v>
      </c>
      <c r="J29" s="28"/>
      <c r="K29" s="528">
        <f t="shared" si="4"/>
        <v>2047.92</v>
      </c>
      <c r="L29" s="28"/>
      <c r="M29" s="28">
        <f>SUM(E29:L29)</f>
        <v>192915.9193194792</v>
      </c>
      <c r="N29" s="28">
        <f>M29/CALC!$A$8*CALC!$A$6</f>
        <v>3128.1293143879643</v>
      </c>
      <c r="O29" s="28">
        <f>+M29+N29</f>
        <v>196044.04863386718</v>
      </c>
      <c r="P29" s="37">
        <v>2</v>
      </c>
      <c r="Q29" s="38"/>
    </row>
    <row r="30" spans="1:17" x14ac:dyDescent="0.25">
      <c r="A30" s="500" t="str">
        <f>+'1-10'!C70</f>
        <v>NISSAN   UD 40A M02 [063]</v>
      </c>
      <c r="B30" s="483" t="str">
        <f>+'1-10'!R70</f>
        <v>CMS 105 L</v>
      </c>
      <c r="C30" s="484">
        <v>669</v>
      </c>
      <c r="D30" s="6">
        <v>12000</v>
      </c>
      <c r="E30" s="520">
        <f>+D30/P30*(CALC!$A$4)</f>
        <v>141000</v>
      </c>
      <c r="F30" s="28">
        <v>23400</v>
      </c>
      <c r="G30" s="28">
        <f>CALC!$A$23*(CEM!I30/CEM!I$148)</f>
        <v>4205.0079387322367</v>
      </c>
      <c r="H30" s="28">
        <f>7000</f>
        <v>7000</v>
      </c>
      <c r="I30" s="28">
        <v>29743.67</v>
      </c>
      <c r="J30" s="28"/>
      <c r="K30" s="528">
        <f t="shared" si="4"/>
        <v>2047.92</v>
      </c>
      <c r="L30" s="28"/>
      <c r="M30" s="28">
        <f>SUM(E30:L30)</f>
        <v>207396.59793873227</v>
      </c>
      <c r="N30" s="28">
        <f>M30/CALC!$A$8*CALC!$A$6</f>
        <v>3362.9333442518841</v>
      </c>
      <c r="O30" s="28">
        <f>+M30+N30</f>
        <v>210759.53128298416</v>
      </c>
      <c r="P30" s="37">
        <v>2</v>
      </c>
      <c r="Q30" s="38"/>
    </row>
    <row r="31" spans="1:17" s="7" customFormat="1" x14ac:dyDescent="0.25">
      <c r="B31" s="3" t="s">
        <v>14</v>
      </c>
      <c r="C31" s="18"/>
      <c r="D31" s="12">
        <f>+D27+D28+D29+D30</f>
        <v>41000</v>
      </c>
      <c r="E31" s="10">
        <f>+E27+E28+E29+E30</f>
        <v>481750</v>
      </c>
      <c r="F31" s="10">
        <f t="shared" ref="F31:O31" si="5">+F27+F28+F29+F30</f>
        <v>93600</v>
      </c>
      <c r="G31" s="10">
        <f t="shared" si="5"/>
        <v>15673.594533941507</v>
      </c>
      <c r="H31" s="10">
        <f t="shared" si="5"/>
        <v>127000</v>
      </c>
      <c r="I31" s="10">
        <f t="shared" si="5"/>
        <v>110865.48</v>
      </c>
      <c r="J31" s="10">
        <f t="shared" si="5"/>
        <v>0</v>
      </c>
      <c r="K31" s="10">
        <f t="shared" si="5"/>
        <v>8191.68</v>
      </c>
      <c r="L31" s="10">
        <f t="shared" si="5"/>
        <v>0</v>
      </c>
      <c r="M31" s="10">
        <f t="shared" si="5"/>
        <v>837080.75453394162</v>
      </c>
      <c r="N31" s="10">
        <f t="shared" si="5"/>
        <v>13573.254379444166</v>
      </c>
      <c r="O31" s="10">
        <f t="shared" si="5"/>
        <v>850654.0089133858</v>
      </c>
      <c r="P31" s="25"/>
      <c r="Q31" s="111">
        <f>(+O31/D31)*(1+CALC!$A$3)</f>
        <v>20.747658753985018</v>
      </c>
    </row>
    <row r="32" spans="1:17" ht="11" thickBot="1" x14ac:dyDescent="0.3">
      <c r="Q32" s="16"/>
    </row>
    <row r="33" spans="1:17" ht="11" thickBot="1" x14ac:dyDescent="0.3">
      <c r="A33" s="284" t="s">
        <v>10</v>
      </c>
      <c r="B33" s="285" t="s">
        <v>444</v>
      </c>
      <c r="D33" s="541" t="s">
        <v>630</v>
      </c>
      <c r="E33" s="542"/>
      <c r="F33" s="543"/>
      <c r="Q33" s="16"/>
    </row>
    <row r="34" spans="1:17" x14ac:dyDescent="0.25">
      <c r="Q34" s="16"/>
    </row>
    <row r="35" spans="1:17" x14ac:dyDescent="0.25">
      <c r="A35" s="489" t="str">
        <f>+'1-10'!C86</f>
        <v>NISSAN  UD 80 WATER TANKER [063]</v>
      </c>
      <c r="B35" s="483" t="str">
        <f>+'1-10'!R86</f>
        <v>CNK 296 L</v>
      </c>
      <c r="C35" s="501">
        <v>685</v>
      </c>
      <c r="D35" s="6">
        <v>10000</v>
      </c>
      <c r="E35" s="520">
        <f>+D35/P35*(CALC!$A$4)</f>
        <v>156666.66666666669</v>
      </c>
      <c r="F35" s="28">
        <v>23400</v>
      </c>
      <c r="G35" s="28">
        <f>CALC!$A$23*(CEM!I35/CEM!I$148)</f>
        <v>7301.9576966266741</v>
      </c>
      <c r="H35" s="28">
        <f>95000</f>
        <v>95000</v>
      </c>
      <c r="I35" s="28">
        <v>51649.61</v>
      </c>
      <c r="J35" s="28"/>
      <c r="K35" s="528">
        <f>8358*1.06</f>
        <v>8859.48</v>
      </c>
      <c r="L35" s="28"/>
      <c r="M35" s="28">
        <f>SUM(E35:L35)</f>
        <v>342877.71436329331</v>
      </c>
      <c r="N35" s="24">
        <f>M35/CALC!$A$8*CALC!$A$6</f>
        <v>5559.7580196268509</v>
      </c>
      <c r="O35" s="28">
        <f>+M35+N35</f>
        <v>348437.47238292015</v>
      </c>
      <c r="P35" s="37">
        <v>1.5</v>
      </c>
      <c r="Q35" s="38"/>
    </row>
    <row r="36" spans="1:17" s="7" customFormat="1" x14ac:dyDescent="0.25">
      <c r="B36" s="3" t="s">
        <v>14</v>
      </c>
      <c r="C36" s="18"/>
      <c r="D36" s="12">
        <f t="shared" ref="D36:I36" si="6">SUM(D35:D35)</f>
        <v>10000</v>
      </c>
      <c r="E36" s="10">
        <f t="shared" si="6"/>
        <v>156666.66666666669</v>
      </c>
      <c r="F36" s="10">
        <f t="shared" si="6"/>
        <v>23400</v>
      </c>
      <c r="G36" s="28">
        <f>6057.27*(1+CALC!$A$2)</f>
        <v>4694.3842500000001</v>
      </c>
      <c r="H36" s="28">
        <f>20000*(1+CALC!$A$2)</f>
        <v>15500</v>
      </c>
      <c r="I36" s="10">
        <f t="shared" si="6"/>
        <v>51649.61</v>
      </c>
      <c r="J36" s="10">
        <f>SUM(J35)</f>
        <v>0</v>
      </c>
      <c r="K36" s="10">
        <f>SUM(K35:K35)</f>
        <v>8859.48</v>
      </c>
      <c r="L36" s="10">
        <f>+L35</f>
        <v>0</v>
      </c>
      <c r="M36" s="10">
        <f>SUM(M35:M35)</f>
        <v>342877.71436329331</v>
      </c>
      <c r="N36" s="10">
        <f>M36/CALC!$A$8*CALC!$A$6</f>
        <v>5559.7580196268509</v>
      </c>
      <c r="O36" s="10">
        <f>+M36+N36</f>
        <v>348437.47238292015</v>
      </c>
      <c r="P36" s="25"/>
      <c r="Q36" s="111">
        <f>(+O36/D36)*(1+CALC!$A$3)</f>
        <v>34.843747238292018</v>
      </c>
    </row>
    <row r="37" spans="1:17" s="7" customFormat="1" ht="11" thickBot="1" x14ac:dyDescent="0.3">
      <c r="C37" s="29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111"/>
    </row>
    <row r="38" spans="1:17" ht="11" thickBot="1" x14ac:dyDescent="0.3">
      <c r="A38" s="284" t="s">
        <v>10</v>
      </c>
      <c r="B38" s="285" t="s">
        <v>445</v>
      </c>
      <c r="D38" s="541" t="s">
        <v>637</v>
      </c>
      <c r="E38" s="542"/>
      <c r="F38" s="543"/>
      <c r="Q38" s="16"/>
    </row>
    <row r="39" spans="1:17" x14ac:dyDescent="0.25">
      <c r="Q39" s="16"/>
    </row>
    <row r="40" spans="1:17" x14ac:dyDescent="0.25">
      <c r="A40" s="483" t="str">
        <f>+'1-10'!C84</f>
        <v>NISSAN  UD 80 C H07 [063] CRANE</v>
      </c>
      <c r="B40" s="483" t="str">
        <f>+'1-10'!R84</f>
        <v>CMJ 521 L</v>
      </c>
      <c r="C40" s="484">
        <v>683</v>
      </c>
      <c r="D40" s="6">
        <v>20000</v>
      </c>
      <c r="E40" s="520">
        <f>+D40/P40*(CALC!$A$4)</f>
        <v>313333.33333333337</v>
      </c>
      <c r="F40" s="28">
        <v>23400</v>
      </c>
      <c r="G40" s="28">
        <f>CALC!$A$23*(CEM!I40/CEM!I$148)</f>
        <v>8716.4572516404642</v>
      </c>
      <c r="H40" s="28">
        <f>95000</f>
        <v>95000</v>
      </c>
      <c r="I40" s="28">
        <v>61654.92</v>
      </c>
      <c r="J40" s="28"/>
      <c r="K40" s="528">
        <f>9492*1.06</f>
        <v>10061.52</v>
      </c>
      <c r="L40" s="28"/>
      <c r="M40" s="28">
        <f>SUM(E40:L40)</f>
        <v>512166.23058497382</v>
      </c>
      <c r="N40" s="24">
        <f>M40/CALC!$A$8*CALC!$A$6</f>
        <v>8304.769276605115</v>
      </c>
      <c r="O40" s="28">
        <f>+M40+N40</f>
        <v>520470.99986157892</v>
      </c>
      <c r="P40" s="37">
        <v>1.5</v>
      </c>
      <c r="Q40" s="38"/>
    </row>
    <row r="41" spans="1:17" s="7" customFormat="1" x14ac:dyDescent="0.25">
      <c r="B41" s="3" t="s">
        <v>14</v>
      </c>
      <c r="C41" s="18"/>
      <c r="D41" s="12">
        <f t="shared" ref="D41:I41" si="7">SUM(D40:D40)</f>
        <v>20000</v>
      </c>
      <c r="E41" s="10">
        <f t="shared" si="7"/>
        <v>313333.33333333337</v>
      </c>
      <c r="F41" s="10">
        <f t="shared" si="7"/>
        <v>23400</v>
      </c>
      <c r="G41" s="10">
        <f t="shared" si="7"/>
        <v>8716.4572516404642</v>
      </c>
      <c r="H41" s="10">
        <f t="shared" si="7"/>
        <v>95000</v>
      </c>
      <c r="I41" s="10">
        <f t="shared" si="7"/>
        <v>61654.92</v>
      </c>
      <c r="J41" s="10">
        <f>SUM(J40)</f>
        <v>0</v>
      </c>
      <c r="K41" s="10">
        <f t="shared" ref="K41:L41" si="8">SUM(K40)</f>
        <v>10061.52</v>
      </c>
      <c r="L41" s="10">
        <f t="shared" si="8"/>
        <v>0</v>
      </c>
      <c r="M41" s="10">
        <f>SUM(M40:M40)</f>
        <v>512166.23058497382</v>
      </c>
      <c r="N41" s="10">
        <f>M41/CALC!$A$8*CALC!$A$6</f>
        <v>8304.769276605115</v>
      </c>
      <c r="O41" s="10">
        <f>+M41+N41</f>
        <v>520470.99986157892</v>
      </c>
      <c r="P41" s="25"/>
      <c r="Q41" s="111">
        <f>(+O41/D41)*(1+CALC!$A$3)</f>
        <v>26.023549993078944</v>
      </c>
    </row>
    <row r="42" spans="1:17" ht="11" thickBot="1" x14ac:dyDescent="0.3">
      <c r="Q42" s="16"/>
    </row>
    <row r="43" spans="1:17" ht="11" thickBot="1" x14ac:dyDescent="0.3">
      <c r="A43" s="284" t="s">
        <v>10</v>
      </c>
      <c r="B43" s="285" t="s">
        <v>446</v>
      </c>
      <c r="D43" s="541" t="s">
        <v>628</v>
      </c>
      <c r="E43" s="542"/>
      <c r="F43" s="543"/>
      <c r="Q43" s="16"/>
    </row>
    <row r="44" spans="1:17" x14ac:dyDescent="0.25">
      <c r="Q44" s="16"/>
    </row>
    <row r="45" spans="1:17" x14ac:dyDescent="0.25">
      <c r="Q45" s="16"/>
    </row>
    <row r="46" spans="1:17" x14ac:dyDescent="0.25">
      <c r="A46" s="499" t="str">
        <f>+'1-10'!C80</f>
        <v>NISSAN  UD 85   TIPPER [063]</v>
      </c>
      <c r="B46" s="483" t="str">
        <f>+'1-10'!R80</f>
        <v>CMS 097 L</v>
      </c>
      <c r="C46" s="484">
        <v>679</v>
      </c>
      <c r="D46" s="6">
        <v>15000</v>
      </c>
      <c r="E46" s="520">
        <f>+D46/P46*(CALC!$A$4)</f>
        <v>235000</v>
      </c>
      <c r="F46" s="28">
        <v>23400</v>
      </c>
      <c r="G46" s="28">
        <f>CALC!$A$23*(CEM!I46/CEM!I$148)</f>
        <v>7286.5902465796498</v>
      </c>
      <c r="H46" s="28">
        <f>95000</f>
        <v>95000</v>
      </c>
      <c r="I46" s="28">
        <v>51540.91</v>
      </c>
      <c r="J46" s="28"/>
      <c r="K46" s="528">
        <f>8358*1.06</f>
        <v>8859.48</v>
      </c>
      <c r="L46" s="28"/>
      <c r="M46" s="28">
        <f>SUM(E46:L46)</f>
        <v>421086.98024657962</v>
      </c>
      <c r="N46" s="24">
        <f>M46/CALC!$A$8*CALC!$A$6</f>
        <v>6827.9203264457037</v>
      </c>
      <c r="O46" s="28">
        <f>+M46+N46</f>
        <v>427914.90057302534</v>
      </c>
      <c r="P46" s="37">
        <v>1.5</v>
      </c>
      <c r="Q46" s="38"/>
    </row>
    <row r="47" spans="1:17" x14ac:dyDescent="0.25">
      <c r="A47" s="499" t="str">
        <f>+'1-10'!C81</f>
        <v>NISSAN  UD 85   TIPPER [063]</v>
      </c>
      <c r="B47" s="483" t="str">
        <f>+'1-10'!R81</f>
        <v>CMS 114 L</v>
      </c>
      <c r="C47" s="484">
        <v>680</v>
      </c>
      <c r="D47" s="6">
        <v>15000</v>
      </c>
      <c r="E47" s="520">
        <f>+D47/P47*(CALC!$A$4)</f>
        <v>235000</v>
      </c>
      <c r="F47" s="28">
        <v>23400</v>
      </c>
      <c r="G47" s="28">
        <f>CALC!$A$23*(CEM!I47/CEM!I$148)</f>
        <v>7492.1055037908691</v>
      </c>
      <c r="H47" s="28">
        <f>95000</f>
        <v>95000</v>
      </c>
      <c r="I47" s="28">
        <v>52994.6</v>
      </c>
      <c r="J47" s="28"/>
      <c r="K47" s="528">
        <f>8358*1.06</f>
        <v>8859.48</v>
      </c>
      <c r="L47" s="28"/>
      <c r="M47" s="28">
        <f>SUM(E47:L47)</f>
        <v>422746.18550379085</v>
      </c>
      <c r="N47" s="24">
        <f>M47/CALC!$A$8*CALC!$A$6</f>
        <v>6854.8243197603961</v>
      </c>
      <c r="O47" s="28">
        <f>+M47+N47</f>
        <v>429601.00982355123</v>
      </c>
      <c r="P47" s="37">
        <v>1.5</v>
      </c>
      <c r="Q47" s="38"/>
    </row>
    <row r="48" spans="1:17" s="7" customFormat="1" x14ac:dyDescent="0.25">
      <c r="B48" s="3" t="s">
        <v>14</v>
      </c>
      <c r="C48" s="18"/>
      <c r="D48" s="12">
        <f>+D46+D47</f>
        <v>30000</v>
      </c>
      <c r="E48" s="10">
        <f>+E46+E47</f>
        <v>470000</v>
      </c>
      <c r="F48" s="10">
        <f t="shared" ref="F48:O48" si="9">+F46+F47</f>
        <v>46800</v>
      </c>
      <c r="G48" s="10">
        <f t="shared" si="9"/>
        <v>14778.69575037052</v>
      </c>
      <c r="H48" s="10">
        <f t="shared" si="9"/>
        <v>190000</v>
      </c>
      <c r="I48" s="10">
        <f t="shared" si="9"/>
        <v>104535.51000000001</v>
      </c>
      <c r="J48" s="10">
        <f t="shared" si="9"/>
        <v>0</v>
      </c>
      <c r="K48" s="10">
        <f t="shared" si="9"/>
        <v>17718.96</v>
      </c>
      <c r="L48" s="10">
        <f t="shared" si="9"/>
        <v>0</v>
      </c>
      <c r="M48" s="10">
        <f t="shared" si="9"/>
        <v>843833.16575037048</v>
      </c>
      <c r="N48" s="10">
        <f t="shared" si="9"/>
        <v>13682.7446462061</v>
      </c>
      <c r="O48" s="10">
        <f t="shared" si="9"/>
        <v>857515.91039657663</v>
      </c>
      <c r="P48" s="10"/>
      <c r="Q48" s="111">
        <f>(+O48/D48)*(1+CALC!$A$3)</f>
        <v>28.583863679885887</v>
      </c>
    </row>
    <row r="49" spans="1:19" s="7" customFormat="1" x14ac:dyDescent="0.25">
      <c r="C49" s="29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27"/>
    </row>
    <row r="50" spans="1:19" s="7" customFormat="1" ht="11" thickBot="1" x14ac:dyDescent="0.3">
      <c r="C50" s="29"/>
      <c r="D50" s="30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7"/>
    </row>
    <row r="51" spans="1:19" ht="11" thickBot="1" x14ac:dyDescent="0.3">
      <c r="A51" s="284" t="s">
        <v>10</v>
      </c>
      <c r="B51" s="285" t="s">
        <v>194</v>
      </c>
      <c r="D51" s="541" t="s">
        <v>190</v>
      </c>
      <c r="E51" s="542"/>
      <c r="F51" s="543"/>
      <c r="Q51" s="16"/>
    </row>
    <row r="52" spans="1:19" x14ac:dyDescent="0.25">
      <c r="Q52" s="16"/>
    </row>
    <row r="53" spans="1:19" x14ac:dyDescent="0.25">
      <c r="A53" s="483" t="s">
        <v>190</v>
      </c>
      <c r="B53" s="483" t="s">
        <v>191</v>
      </c>
      <c r="C53" s="484">
        <v>420</v>
      </c>
      <c r="D53" s="6">
        <v>1500</v>
      </c>
      <c r="E53" s="520">
        <f>+D53/P53*(CALC!$A$4)</f>
        <v>503571.42857142852</v>
      </c>
      <c r="F53" s="28">
        <v>23400</v>
      </c>
      <c r="G53" s="28">
        <f>CALC!$A$23*(CEM!I53/CEM!I$148)</f>
        <v>38039.53366382065</v>
      </c>
      <c r="H53" s="28">
        <f>630000</f>
        <v>630000</v>
      </c>
      <c r="I53" s="481">
        <f>0.75*358758.05</f>
        <v>269068.53749999998</v>
      </c>
      <c r="J53" s="28">
        <v>0</v>
      </c>
      <c r="K53" s="528">
        <f t="shared" ref="K53:K54" si="10">168*1.06</f>
        <v>178.08</v>
      </c>
      <c r="L53" s="28"/>
      <c r="M53" s="28">
        <f>SUM(E53:L53)</f>
        <v>1464257.5797352493</v>
      </c>
      <c r="N53" s="24">
        <f>M53/CALC!$A$8*CALC!$A$6</f>
        <v>23742.919066203325</v>
      </c>
      <c r="O53" s="28">
        <f>+M53+N53</f>
        <v>1488000.4988014526</v>
      </c>
      <c r="P53" s="37">
        <v>7.0000000000000007E-2</v>
      </c>
      <c r="Q53" s="38"/>
    </row>
    <row r="54" spans="1:19" x14ac:dyDescent="0.25">
      <c r="A54" s="483" t="s">
        <v>190</v>
      </c>
      <c r="B54" s="483" t="s">
        <v>192</v>
      </c>
      <c r="C54" s="484">
        <v>421</v>
      </c>
      <c r="D54" s="6">
        <v>1500</v>
      </c>
      <c r="E54" s="520">
        <f>+D54/P54*(CALC!$A$4)</f>
        <v>503571.42857142852</v>
      </c>
      <c r="F54" s="28">
        <v>23400</v>
      </c>
      <c r="G54" s="28">
        <f>CALC!$A$23*(CEM!I54/CEM!I$148)</f>
        <v>38039.53366382065</v>
      </c>
      <c r="H54" s="28">
        <f>630000</f>
        <v>630000</v>
      </c>
      <c r="I54" s="481">
        <f>0.75*358758.05</f>
        <v>269068.53749999998</v>
      </c>
      <c r="J54" s="28">
        <v>0</v>
      </c>
      <c r="K54" s="528">
        <f t="shared" si="10"/>
        <v>178.08</v>
      </c>
      <c r="L54" s="28"/>
      <c r="M54" s="28">
        <f>SUM(E54:L54)</f>
        <v>1464257.5797352493</v>
      </c>
      <c r="N54" s="24">
        <f>M54/CALC!$A$8*CALC!$A$6</f>
        <v>23742.919066203325</v>
      </c>
      <c r="O54" s="28">
        <f>+M54+N54</f>
        <v>1488000.4988014526</v>
      </c>
      <c r="P54" s="37">
        <v>7.0000000000000007E-2</v>
      </c>
      <c r="Q54" s="38"/>
    </row>
    <row r="55" spans="1:19" ht="12.5" x14ac:dyDescent="0.25">
      <c r="A55" s="547" t="s">
        <v>1563</v>
      </c>
      <c r="B55" s="548" t="s">
        <v>1561</v>
      </c>
      <c r="C55" s="484"/>
      <c r="D55" s="6">
        <v>1500</v>
      </c>
      <c r="E55" s="520">
        <v>300000</v>
      </c>
      <c r="F55" s="28">
        <v>23400</v>
      </c>
      <c r="G55" s="28"/>
      <c r="H55" s="28">
        <v>300000</v>
      </c>
      <c r="I55" s="481"/>
      <c r="J55" s="28"/>
      <c r="K55" s="528">
        <v>300</v>
      </c>
      <c r="L55" s="28"/>
      <c r="M55" s="28"/>
      <c r="N55" s="24"/>
      <c r="O55" s="28"/>
      <c r="P55" s="37"/>
      <c r="Q55" s="38"/>
    </row>
    <row r="56" spans="1:19" ht="12.5" x14ac:dyDescent="0.25">
      <c r="A56" s="547" t="s">
        <v>1563</v>
      </c>
      <c r="B56" s="548" t="s">
        <v>1562</v>
      </c>
      <c r="C56" s="484"/>
      <c r="D56" s="6">
        <v>1500</v>
      </c>
      <c r="E56" s="520">
        <v>300000</v>
      </c>
      <c r="F56" s="28">
        <v>23400</v>
      </c>
      <c r="G56" s="28"/>
      <c r="H56" s="28">
        <v>300000</v>
      </c>
      <c r="I56" s="481"/>
      <c r="J56" s="28"/>
      <c r="K56" s="528">
        <v>300</v>
      </c>
      <c r="L56" s="28"/>
      <c r="M56" s="28"/>
      <c r="N56" s="24"/>
      <c r="O56" s="28"/>
      <c r="P56" s="37"/>
      <c r="Q56" s="38"/>
    </row>
    <row r="57" spans="1:19" x14ac:dyDescent="0.25">
      <c r="A57" s="525" t="s">
        <v>1467</v>
      </c>
      <c r="B57" s="483" t="s">
        <v>1479</v>
      </c>
      <c r="C57" s="484"/>
      <c r="D57" s="6">
        <v>1500</v>
      </c>
      <c r="E57" s="520">
        <f>+D57/P57*(CALC!$A$4)</f>
        <v>503571.42857142852</v>
      </c>
      <c r="F57" s="28">
        <v>23400</v>
      </c>
      <c r="G57" s="28">
        <f>CALC!$A$23*(CEM!I57/CEM!I$148)</f>
        <v>38039.53366382065</v>
      </c>
      <c r="H57" s="28">
        <f>630000</f>
        <v>630000</v>
      </c>
      <c r="I57" s="481">
        <f>0.75*358758.05</f>
        <v>269068.53749999998</v>
      </c>
      <c r="J57" s="28">
        <v>0</v>
      </c>
      <c r="K57" s="528">
        <f>168*1.06</f>
        <v>178.08</v>
      </c>
      <c r="L57" s="28"/>
      <c r="M57" s="28">
        <f>SUM(E57:L57)</f>
        <v>1464257.5797352493</v>
      </c>
      <c r="N57" s="24">
        <f>M57/CALC!$A$8*CALC!$A$6</f>
        <v>23742.919066203325</v>
      </c>
      <c r="O57" s="28">
        <f>+M57+N57</f>
        <v>1488000.4988014526</v>
      </c>
      <c r="P57" s="28">
        <v>7.0000000000000007E-2</v>
      </c>
      <c r="Q57" s="28">
        <f>SUM(I57:P57)</f>
        <v>3245247.6851029047</v>
      </c>
      <c r="R57" s="24">
        <f>Q57/CALC!$A$8*CALC!$A$6</f>
        <v>52621.652230827851</v>
      </c>
      <c r="S57" s="28">
        <f>+Q57+R57</f>
        <v>3297869.3373337328</v>
      </c>
    </row>
    <row r="58" spans="1:19" s="7" customFormat="1" x14ac:dyDescent="0.25">
      <c r="B58" s="3" t="s">
        <v>14</v>
      </c>
      <c r="C58" s="18"/>
      <c r="D58" s="12">
        <f>SUM(D53:D54)</f>
        <v>3000</v>
      </c>
      <c r="E58" s="10">
        <f>SUM(E53:E57)</f>
        <v>2110714.2857142854</v>
      </c>
      <c r="F58" s="10">
        <f>SUM(F53:F57)</f>
        <v>117000</v>
      </c>
      <c r="G58" s="10">
        <f>SUM(G53:G57)</f>
        <v>114118.60099146195</v>
      </c>
      <c r="H58" s="10">
        <f>SUM(H53:H57)</f>
        <v>2490000</v>
      </c>
      <c r="I58" s="10">
        <f>SUM(I53:I57)</f>
        <v>807205.61249999993</v>
      </c>
      <c r="J58" s="10">
        <f>SUM(J53:J57)</f>
        <v>0</v>
      </c>
      <c r="K58" s="10">
        <f>SUM(K53:K57)</f>
        <v>1134.24</v>
      </c>
      <c r="L58" s="10">
        <f>SUM(L53:L57)</f>
        <v>0</v>
      </c>
      <c r="M58" s="10">
        <f>SUM(M53:M57)</f>
        <v>4392772.7392057478</v>
      </c>
      <c r="N58" s="10">
        <f>SUM(N53:N57)</f>
        <v>71228.757198609979</v>
      </c>
      <c r="O58" s="10">
        <f>SUM(O53:O57)</f>
        <v>4464001.4964043573</v>
      </c>
      <c r="P58" s="25"/>
      <c r="Q58" s="111">
        <f>(+O58/D58)*(1+CALC!$A$3)</f>
        <v>1488.0004988014525</v>
      </c>
    </row>
    <row r="59" spans="1:19" ht="11" thickBot="1" x14ac:dyDescent="0.3">
      <c r="Q59" s="16"/>
    </row>
    <row r="60" spans="1:19" ht="11" thickBot="1" x14ac:dyDescent="0.3">
      <c r="A60" s="284" t="s">
        <v>10</v>
      </c>
      <c r="B60" s="285" t="s">
        <v>447</v>
      </c>
      <c r="D60" s="541" t="s">
        <v>401</v>
      </c>
      <c r="E60" s="542"/>
      <c r="F60" s="543"/>
      <c r="P60" s="50"/>
      <c r="Q60" s="38"/>
    </row>
    <row r="61" spans="1:19" x14ac:dyDescent="0.25">
      <c r="P61" s="50"/>
      <c r="Q61" s="38"/>
    </row>
    <row r="62" spans="1:19" x14ac:dyDescent="0.25">
      <c r="A62" s="489" t="str">
        <f>+'1-10'!C90</f>
        <v>TLB BELL 315 SJ 4X4 [063]</v>
      </c>
      <c r="B62" s="483" t="str">
        <f>+'1-10'!R90</f>
        <v>CMF 761 L</v>
      </c>
      <c r="C62" s="484">
        <v>689</v>
      </c>
      <c r="D62" s="6">
        <v>1000</v>
      </c>
      <c r="E62" s="520">
        <f>+D62/P62*(CALC!$A$4)</f>
        <v>156666.66666666669</v>
      </c>
      <c r="F62" s="28">
        <v>23400</v>
      </c>
      <c r="G62" s="28">
        <f>CALC!$A$23*(CEM!I62/CEM!I$148)</f>
        <v>0</v>
      </c>
      <c r="H62" s="28">
        <f>153000</f>
        <v>153000</v>
      </c>
      <c r="I62" s="28">
        <v>0</v>
      </c>
      <c r="J62" s="28"/>
      <c r="K62" s="528">
        <f>168*1.06</f>
        <v>178.08</v>
      </c>
      <c r="L62" s="28"/>
      <c r="M62" s="28">
        <f>SUM(E62:L62)</f>
        <v>333244.7466666667</v>
      </c>
      <c r="N62" s="24">
        <f>M62/CALC!$A$8*CALC!$A$6</f>
        <v>5403.5595641408227</v>
      </c>
      <c r="O62" s="28">
        <f>+M62+N62</f>
        <v>338648.3062308075</v>
      </c>
      <c r="P62" s="37">
        <v>0.15</v>
      </c>
      <c r="Q62" s="38"/>
    </row>
    <row r="63" spans="1:19" x14ac:dyDescent="0.25">
      <c r="A63" s="489" t="str">
        <f>+'1-10'!C91</f>
        <v>TLB BELL 315 SJ 4X4 [063]</v>
      </c>
      <c r="B63" s="483" t="str">
        <f>+'1-10'!R91</f>
        <v>CMF 759 L</v>
      </c>
      <c r="C63" s="484">
        <v>690</v>
      </c>
      <c r="D63" s="6">
        <v>1000</v>
      </c>
      <c r="E63" s="520">
        <f>+D63/P63*(CALC!$A$4)</f>
        <v>156666.66666666669</v>
      </c>
      <c r="F63" s="28">
        <v>23400</v>
      </c>
      <c r="G63" s="28">
        <f>CALC!$A$23*(CEM!I63/CEM!I$148)</f>
        <v>9063.3191193118109</v>
      </c>
      <c r="H63" s="28">
        <f>153000</f>
        <v>153000</v>
      </c>
      <c r="I63" s="28">
        <v>64108.41</v>
      </c>
      <c r="J63" s="28"/>
      <c r="K63" s="528">
        <f>168*1.06</f>
        <v>178.08</v>
      </c>
      <c r="L63" s="28"/>
      <c r="M63" s="28">
        <f>SUM(E63:L63)</f>
        <v>406416.47578597855</v>
      </c>
      <c r="N63" s="24">
        <f>M63/CALC!$A$8*CALC!$A$6</f>
        <v>6590.0382728445838</v>
      </c>
      <c r="O63" s="28">
        <f>+M63+N63</f>
        <v>413006.51405882312</v>
      </c>
      <c r="P63" s="37">
        <v>0.15</v>
      </c>
      <c r="Q63" s="38"/>
    </row>
    <row r="64" spans="1:19" s="7" customFormat="1" x14ac:dyDescent="0.25">
      <c r="B64" s="3" t="s">
        <v>14</v>
      </c>
      <c r="C64" s="18"/>
      <c r="D64" s="12">
        <f>SUM(D62:D63)</f>
        <v>2000</v>
      </c>
      <c r="E64" s="24">
        <f t="shared" ref="E64:O64" si="11">SUM(E62:E63)</f>
        <v>313333.33333333337</v>
      </c>
      <c r="F64" s="24">
        <f t="shared" si="11"/>
        <v>46800</v>
      </c>
      <c r="G64" s="24">
        <f t="shared" si="11"/>
        <v>9063.3191193118109</v>
      </c>
      <c r="H64" s="24">
        <f t="shared" si="11"/>
        <v>306000</v>
      </c>
      <c r="I64" s="24">
        <f t="shared" si="11"/>
        <v>64108.41</v>
      </c>
      <c r="J64" s="24">
        <f t="shared" si="11"/>
        <v>0</v>
      </c>
      <c r="K64" s="24">
        <f t="shared" si="11"/>
        <v>356.16</v>
      </c>
      <c r="L64" s="10">
        <f t="shared" ref="L64" si="12">+L62+L63</f>
        <v>0</v>
      </c>
      <c r="M64" s="24">
        <f t="shared" si="11"/>
        <v>739661.22245264519</v>
      </c>
      <c r="N64" s="24">
        <f t="shared" si="11"/>
        <v>11993.597836985406</v>
      </c>
      <c r="O64" s="24">
        <f t="shared" si="11"/>
        <v>751654.82028963068</v>
      </c>
      <c r="P64" s="39"/>
      <c r="Q64" s="40">
        <f>(+O64/D64)*(1+CALC!$A$3)</f>
        <v>375.82741014481536</v>
      </c>
    </row>
    <row r="65" spans="1:17" ht="11" thickBot="1" x14ac:dyDescent="0.3">
      <c r="P65" s="50"/>
      <c r="Q65" s="38"/>
    </row>
    <row r="66" spans="1:17" ht="11" thickBot="1" x14ac:dyDescent="0.3">
      <c r="A66" s="284" t="s">
        <v>10</v>
      </c>
      <c r="B66" s="285" t="s">
        <v>448</v>
      </c>
      <c r="D66" s="541" t="s">
        <v>402</v>
      </c>
      <c r="E66" s="542"/>
      <c r="F66" s="543"/>
      <c r="P66" s="50"/>
      <c r="Q66" s="38"/>
    </row>
    <row r="67" spans="1:17" x14ac:dyDescent="0.25">
      <c r="P67" s="50"/>
      <c r="Q67" s="38"/>
    </row>
    <row r="68" spans="1:17" x14ac:dyDescent="0.25">
      <c r="A68" s="489" t="str">
        <f>+'1-10'!C92</f>
        <v>ROLLER VOLVO SD100DC [063]</v>
      </c>
      <c r="B68" s="483" t="str">
        <f>+'1-10'!R92</f>
        <v>58024</v>
      </c>
      <c r="C68" s="14">
        <v>691</v>
      </c>
      <c r="D68" s="6">
        <v>600</v>
      </c>
      <c r="E68" s="48">
        <f>+D68/P68*(CALC!$A$4)</f>
        <v>94000</v>
      </c>
      <c r="F68" s="28">
        <v>23400</v>
      </c>
      <c r="G68" s="28">
        <f>CALC!$A$23*(CEM!I68/CEM!I$148)</f>
        <v>23945.46876959872</v>
      </c>
      <c r="H68" s="28">
        <f>115000</f>
        <v>115000</v>
      </c>
      <c r="I68" s="481">
        <v>169375.69</v>
      </c>
      <c r="J68" s="28"/>
      <c r="K68" s="74">
        <f>168*1.06</f>
        <v>178.08</v>
      </c>
      <c r="L68" s="28"/>
      <c r="M68" s="28">
        <f>SUM(E68:L68)</f>
        <v>425899.23876959871</v>
      </c>
      <c r="N68" s="24">
        <f>M68/CALC!$A$8*CALC!$A$6</f>
        <v>6905.9510405898282</v>
      </c>
      <c r="O68" s="28">
        <f>+M68+N68</f>
        <v>432805.18981018855</v>
      </c>
      <c r="P68" s="37">
        <v>0.15</v>
      </c>
      <c r="Q68" s="38"/>
    </row>
    <row r="69" spans="1:17" x14ac:dyDescent="0.25">
      <c r="A69" s="489" t="str">
        <f>+'1-10'!C93</f>
        <v>ROLLER VOLVO SD100DC [063]</v>
      </c>
      <c r="B69" s="483" t="str">
        <f>+'1-10'!R93</f>
        <v>58026</v>
      </c>
      <c r="C69" s="14">
        <v>692</v>
      </c>
      <c r="D69" s="6">
        <v>600</v>
      </c>
      <c r="E69" s="48">
        <f>+D69/P69*(CALC!$A$4)</f>
        <v>94000</v>
      </c>
      <c r="F69" s="28">
        <v>23400</v>
      </c>
      <c r="G69" s="28">
        <f>CALC!$A$23*(CEM!I69/CEM!I$148)</f>
        <v>23945.46876959872</v>
      </c>
      <c r="H69" s="28">
        <f>115000</f>
        <v>115000</v>
      </c>
      <c r="I69" s="481">
        <v>169375.69</v>
      </c>
      <c r="J69" s="28"/>
      <c r="K69" s="74">
        <f>168*1.06</f>
        <v>178.08</v>
      </c>
      <c r="L69" s="28"/>
      <c r="M69" s="28">
        <f>SUM(E69:L69)</f>
        <v>425899.23876959871</v>
      </c>
      <c r="N69" s="24">
        <f>M69/CALC!$A$8*CALC!$A$6</f>
        <v>6905.9510405898282</v>
      </c>
      <c r="O69" s="28">
        <f>+M69+N69</f>
        <v>432805.18981018855</v>
      </c>
      <c r="P69" s="37">
        <v>0.15</v>
      </c>
      <c r="Q69" s="38"/>
    </row>
    <row r="70" spans="1:17" s="7" customFormat="1" x14ac:dyDescent="0.25">
      <c r="B70" s="3" t="s">
        <v>14</v>
      </c>
      <c r="C70" s="18"/>
      <c r="D70" s="12">
        <f t="shared" ref="D70:K70" si="13">SUM(D68:D69)</f>
        <v>1200</v>
      </c>
      <c r="E70" s="24">
        <f t="shared" si="13"/>
        <v>188000</v>
      </c>
      <c r="F70" s="24">
        <f t="shared" si="13"/>
        <v>46800</v>
      </c>
      <c r="G70" s="24">
        <f t="shared" si="13"/>
        <v>47890.937539197439</v>
      </c>
      <c r="H70" s="24">
        <f t="shared" si="13"/>
        <v>230000</v>
      </c>
      <c r="I70" s="24">
        <f t="shared" si="13"/>
        <v>338751.38</v>
      </c>
      <c r="J70" s="24">
        <f t="shared" si="13"/>
        <v>0</v>
      </c>
      <c r="K70" s="24">
        <f t="shared" si="13"/>
        <v>356.16</v>
      </c>
      <c r="L70" s="10">
        <f>+L68+L69</f>
        <v>0</v>
      </c>
      <c r="M70" s="24">
        <f>SUM(M68:M69)</f>
        <v>851798.47753919743</v>
      </c>
      <c r="N70" s="24">
        <f>M70/CALC!$A$8*CALC!$A$6</f>
        <v>13811.902081179656</v>
      </c>
      <c r="O70" s="24">
        <f>+M70+N70</f>
        <v>865610.37962037709</v>
      </c>
      <c r="P70" s="39"/>
      <c r="Q70" s="40">
        <f>(+O70/D70)*(1+CALC!$A$3)</f>
        <v>721.34198301698086</v>
      </c>
    </row>
    <row r="71" spans="1:17" ht="11" thickBot="1" x14ac:dyDescent="0.3">
      <c r="P71" s="50"/>
      <c r="Q71" s="38"/>
    </row>
    <row r="72" spans="1:17" ht="11" thickBot="1" x14ac:dyDescent="0.3">
      <c r="A72" s="284" t="s">
        <v>10</v>
      </c>
      <c r="B72" s="285" t="s">
        <v>449</v>
      </c>
      <c r="D72" s="541" t="s">
        <v>404</v>
      </c>
      <c r="E72" s="542"/>
      <c r="F72" s="543"/>
      <c r="P72" s="50"/>
      <c r="Q72" s="38"/>
    </row>
    <row r="73" spans="1:17" x14ac:dyDescent="0.25">
      <c r="P73" s="50"/>
      <c r="Q73" s="38"/>
    </row>
    <row r="74" spans="1:17" x14ac:dyDescent="0.25">
      <c r="A74" s="498" t="str">
        <f>+'1-10'!C94</f>
        <v>ISUZU FSR800 WATER TANKER [063]</v>
      </c>
      <c r="B74" s="483" t="str">
        <f>+'1-10'!R94</f>
        <v>CNC 461 L</v>
      </c>
      <c r="C74" s="484">
        <v>693</v>
      </c>
      <c r="D74" s="6">
        <v>10000</v>
      </c>
      <c r="E74" s="520">
        <f>+D74/2.5*11.5</f>
        <v>46000</v>
      </c>
      <c r="F74" s="28">
        <v>23400</v>
      </c>
      <c r="G74" s="28">
        <f>CALC!$A$23*(CEM!I74/CEM!I$148)</f>
        <v>9514.8464696677402</v>
      </c>
      <c r="H74" s="28">
        <f>95000</f>
        <v>95000</v>
      </c>
      <c r="I74" s="28">
        <v>67302.240000000005</v>
      </c>
      <c r="J74" s="28"/>
      <c r="K74" s="528">
        <f>12420*1.06</f>
        <v>13165.2</v>
      </c>
      <c r="L74" s="28"/>
      <c r="M74" s="28">
        <f>SUM(E74:L74)</f>
        <v>254382.28646966774</v>
      </c>
      <c r="N74" s="24">
        <f>M74/CALC!$A$8*CALC!$A$6</f>
        <v>4124.8057193715304</v>
      </c>
      <c r="O74" s="28">
        <f>+M74+N74</f>
        <v>258507.09218903928</v>
      </c>
      <c r="P74" s="37">
        <v>0.15</v>
      </c>
      <c r="Q74" s="38"/>
    </row>
    <row r="75" spans="1:17" x14ac:dyDescent="0.25">
      <c r="A75" s="498" t="str">
        <f>+'1-10'!C95</f>
        <v>ISUZU FSR800 WATER TANKER [063]</v>
      </c>
      <c r="B75" s="483" t="str">
        <f>+'1-10'!R95</f>
        <v>CPP 523 L</v>
      </c>
      <c r="C75" s="484">
        <v>694</v>
      </c>
      <c r="D75" s="6">
        <v>5000</v>
      </c>
      <c r="E75" s="520">
        <f>+D75/2.5*11.5</f>
        <v>23000</v>
      </c>
      <c r="F75" s="28">
        <v>23400</v>
      </c>
      <c r="G75" s="28">
        <f>CALC!$A$23*(CEM!I75/CEM!I$148)</f>
        <v>9514.8365734257604</v>
      </c>
      <c r="H75" s="28">
        <f>95000</f>
        <v>95000</v>
      </c>
      <c r="I75" s="482">
        <v>67302.17</v>
      </c>
      <c r="J75" s="28"/>
      <c r="K75" s="528">
        <f>8358*1.06</f>
        <v>8859.48</v>
      </c>
      <c r="L75" s="28"/>
      <c r="M75" s="28">
        <f>SUM(E75:L75)</f>
        <v>227076.48657342579</v>
      </c>
      <c r="N75" s="24">
        <f>M75/CALC!$A$8*CALC!$A$6</f>
        <v>3682.042502061337</v>
      </c>
      <c r="O75" s="28">
        <f>+M75+N75</f>
        <v>230758.52907548714</v>
      </c>
      <c r="P75" s="37">
        <v>0.15</v>
      </c>
      <c r="Q75" s="38"/>
    </row>
    <row r="76" spans="1:17" s="7" customFormat="1" x14ac:dyDescent="0.25">
      <c r="B76" s="3" t="s">
        <v>14</v>
      </c>
      <c r="C76" s="18"/>
      <c r="D76" s="12">
        <f t="shared" ref="D76:K76" si="14">SUM(D74:D75)</f>
        <v>15000</v>
      </c>
      <c r="E76" s="24">
        <f t="shared" si="14"/>
        <v>69000</v>
      </c>
      <c r="F76" s="24">
        <f t="shared" si="14"/>
        <v>46800</v>
      </c>
      <c r="G76" s="24">
        <f t="shared" si="14"/>
        <v>19029.683043093501</v>
      </c>
      <c r="H76" s="24">
        <f t="shared" si="14"/>
        <v>190000</v>
      </c>
      <c r="I76" s="24">
        <f t="shared" si="14"/>
        <v>134604.41</v>
      </c>
      <c r="J76" s="24">
        <f t="shared" si="14"/>
        <v>0</v>
      </c>
      <c r="K76" s="24">
        <f t="shared" si="14"/>
        <v>22024.68</v>
      </c>
      <c r="L76" s="10">
        <f t="shared" ref="L76" si="15">+L74+L75</f>
        <v>0</v>
      </c>
      <c r="M76" s="24">
        <f>SUM(M74:M75)</f>
        <v>481458.7730430935</v>
      </c>
      <c r="N76" s="24">
        <f>M76/CALC!$A$8*CALC!$A$6</f>
        <v>7806.8482214328669</v>
      </c>
      <c r="O76" s="24">
        <f>+M76+N76</f>
        <v>489265.62126452639</v>
      </c>
      <c r="P76" s="39"/>
      <c r="Q76" s="40">
        <f>(+O76/D76)*(1+CALC!$A$3)</f>
        <v>32.617708084301761</v>
      </c>
    </row>
    <row r="77" spans="1:17" ht="11" thickBot="1" x14ac:dyDescent="0.3">
      <c r="P77" s="50"/>
      <c r="Q77" s="38"/>
    </row>
    <row r="78" spans="1:17" ht="11" thickBot="1" x14ac:dyDescent="0.3">
      <c r="A78" s="284" t="s">
        <v>10</v>
      </c>
      <c r="B78" s="285" t="s">
        <v>450</v>
      </c>
      <c r="D78" s="541" t="s">
        <v>403</v>
      </c>
      <c r="E78" s="542"/>
      <c r="F78" s="543"/>
      <c r="P78" s="50"/>
      <c r="Q78" s="38"/>
    </row>
    <row r="79" spans="1:17" x14ac:dyDescent="0.25">
      <c r="P79" s="50"/>
      <c r="Q79" s="38"/>
    </row>
    <row r="80" spans="1:17" x14ac:dyDescent="0.25">
      <c r="A80" s="498" t="str">
        <f>+'1-10'!C96</f>
        <v>TIPPER TRUCK TATA 1518LPK [063]</v>
      </c>
      <c r="B80" s="483" t="str">
        <f>+'1-10'!R96</f>
        <v>CNG 476 L</v>
      </c>
      <c r="C80" s="484">
        <v>695</v>
      </c>
      <c r="D80" s="6">
        <v>10000</v>
      </c>
      <c r="E80" s="520">
        <f>+D80/2.5*11.5</f>
        <v>46000</v>
      </c>
      <c r="F80" s="28">
        <v>23400</v>
      </c>
      <c r="G80" s="28">
        <f>CALC!$A$23*(CEM!I80/CEM!I$148)</f>
        <v>4936.3402210989334</v>
      </c>
      <c r="H80" s="28">
        <f>95000</f>
        <v>95000</v>
      </c>
      <c r="I80" s="28">
        <v>34916.67</v>
      </c>
      <c r="J80" s="28"/>
      <c r="K80" s="528">
        <f t="shared" ref="K80:K81" si="16">9228*1.06</f>
        <v>9781.68</v>
      </c>
      <c r="L80" s="28"/>
      <c r="M80" s="28">
        <f>SUM(E80:L80)</f>
        <v>214034.69022109889</v>
      </c>
      <c r="N80" s="24">
        <f>M80/CALC!$A$8*CALC!$A$6</f>
        <v>3470.5699308712387</v>
      </c>
      <c r="O80" s="28">
        <f>+M80+N80</f>
        <v>217505.26015197014</v>
      </c>
      <c r="P80" s="37">
        <v>0.15</v>
      </c>
      <c r="Q80" s="38"/>
    </row>
    <row r="81" spans="1:17" x14ac:dyDescent="0.25">
      <c r="A81" s="498" t="str">
        <f>+'1-10'!C97</f>
        <v>TIPPER TRUCK TATA 1518LPK [063]</v>
      </c>
      <c r="B81" s="483" t="str">
        <f>+'1-10'!R97</f>
        <v>CNG 464 L</v>
      </c>
      <c r="C81" s="484">
        <v>696</v>
      </c>
      <c r="D81" s="6">
        <v>10000</v>
      </c>
      <c r="E81" s="48">
        <f>+D81/2.5*11.5</f>
        <v>46000</v>
      </c>
      <c r="F81" s="28">
        <v>23400</v>
      </c>
      <c r="G81" s="28">
        <f>CALC!$A$23*(CEM!I81/CEM!I$148)</f>
        <v>4936.3402210989334</v>
      </c>
      <c r="H81" s="28">
        <f>95000</f>
        <v>95000</v>
      </c>
      <c r="I81" s="28">
        <v>34916.67</v>
      </c>
      <c r="J81" s="28"/>
      <c r="K81" s="528">
        <f t="shared" si="16"/>
        <v>9781.68</v>
      </c>
      <c r="L81" s="28"/>
      <c r="M81" s="28">
        <f>SUM(E81:L81)</f>
        <v>214034.69022109889</v>
      </c>
      <c r="N81" s="24">
        <f>M81/CALC!$A$8*CALC!$A$6</f>
        <v>3470.5699308712387</v>
      </c>
      <c r="O81" s="28">
        <f>+M81+N81</f>
        <v>217505.26015197014</v>
      </c>
      <c r="P81" s="37">
        <v>0.15</v>
      </c>
      <c r="Q81" s="38"/>
    </row>
    <row r="82" spans="1:17" x14ac:dyDescent="0.25">
      <c r="A82" s="518" t="str">
        <f>+'1-10'!C98</f>
        <v>TIPPER TRUCK TATA 1518LPK [063]</v>
      </c>
      <c r="B82" s="514" t="str">
        <f>+'1-10'!R98</f>
        <v>CNG 468 L</v>
      </c>
      <c r="C82" s="515">
        <v>697</v>
      </c>
      <c r="D82" s="6">
        <v>10000</v>
      </c>
      <c r="E82" s="520">
        <f>+D82/2.5*11.5</f>
        <v>46000</v>
      </c>
      <c r="F82" s="28">
        <v>23400</v>
      </c>
      <c r="G82" s="28">
        <f>CALC!$A$23*(CEM!I82/CEM!I$148)</f>
        <v>4936.3402210989334</v>
      </c>
      <c r="H82" s="28">
        <f>95000</f>
        <v>95000</v>
      </c>
      <c r="I82" s="28">
        <v>34916.67</v>
      </c>
      <c r="J82" s="28"/>
      <c r="K82" s="528">
        <f>9228*1.06</f>
        <v>9781.68</v>
      </c>
      <c r="L82" s="28"/>
      <c r="M82" s="28">
        <f>SUM(E82:L82)</f>
        <v>214034.69022109889</v>
      </c>
      <c r="N82" s="24">
        <f>M82/CALC!$A$8*CALC!$A$6</f>
        <v>3470.5699308712387</v>
      </c>
      <c r="O82" s="28">
        <f>+M82+N82</f>
        <v>217505.26015197014</v>
      </c>
      <c r="P82" s="37">
        <v>0.15</v>
      </c>
      <c r="Q82" s="38"/>
    </row>
    <row r="83" spans="1:17" x14ac:dyDescent="0.25">
      <c r="A83" s="498" t="str">
        <f>+'1-10'!C99</f>
        <v>TIPPER TRUCK TATA 1518LPK [063]</v>
      </c>
      <c r="B83" s="483" t="str">
        <f>+'1-10'!R99</f>
        <v>CNG 480 L</v>
      </c>
      <c r="C83" s="484">
        <v>698</v>
      </c>
      <c r="D83" s="6">
        <v>10000</v>
      </c>
      <c r="E83" s="520">
        <f>+D83/2.5*11.5</f>
        <v>46000</v>
      </c>
      <c r="F83" s="28">
        <v>23400</v>
      </c>
      <c r="G83" s="28">
        <f>CALC!$A$23*(CEM!I83/CEM!I$148)</f>
        <v>4936.3402210989334</v>
      </c>
      <c r="H83" s="28">
        <f>95000</f>
        <v>95000</v>
      </c>
      <c r="I83" s="28">
        <v>34916.67</v>
      </c>
      <c r="J83" s="28"/>
      <c r="K83" s="528">
        <f>9228*1.06</f>
        <v>9781.68</v>
      </c>
      <c r="L83" s="28"/>
      <c r="M83" s="28">
        <f>SUM(E83:L83)</f>
        <v>214034.69022109889</v>
      </c>
      <c r="N83" s="24">
        <f>M83/CALC!$A$8*CALC!$A$6</f>
        <v>3470.5699308712387</v>
      </c>
      <c r="O83" s="28">
        <f>+M83+N83</f>
        <v>217505.26015197014</v>
      </c>
      <c r="P83" s="37">
        <v>0.15</v>
      </c>
      <c r="Q83" s="38"/>
    </row>
    <row r="84" spans="1:17" s="7" customFormat="1" x14ac:dyDescent="0.25">
      <c r="B84" s="3" t="s">
        <v>14</v>
      </c>
      <c r="C84" s="18"/>
      <c r="D84" s="12">
        <f t="shared" ref="D84:O84" si="17">SUM(D80:D83)</f>
        <v>40000</v>
      </c>
      <c r="E84" s="24">
        <f t="shared" si="17"/>
        <v>184000</v>
      </c>
      <c r="F84" s="24">
        <f t="shared" si="17"/>
        <v>93600</v>
      </c>
      <c r="G84" s="24">
        <f t="shared" si="17"/>
        <v>19745.360884395734</v>
      </c>
      <c r="H84" s="24">
        <f t="shared" si="17"/>
        <v>380000</v>
      </c>
      <c r="I84" s="24">
        <f t="shared" si="17"/>
        <v>139666.68</v>
      </c>
      <c r="J84" s="24">
        <f t="shared" si="17"/>
        <v>0</v>
      </c>
      <c r="K84" s="467">
        <f t="shared" si="17"/>
        <v>39126.720000000001</v>
      </c>
      <c r="L84" s="24">
        <f t="shared" si="17"/>
        <v>0</v>
      </c>
      <c r="M84" s="24">
        <f t="shared" si="17"/>
        <v>856138.76088439557</v>
      </c>
      <c r="N84" s="24">
        <f t="shared" si="17"/>
        <v>13882.279723484955</v>
      </c>
      <c r="O84" s="24">
        <f t="shared" si="17"/>
        <v>870021.04060788057</v>
      </c>
      <c r="P84" s="39"/>
      <c r="Q84" s="40">
        <f>(+O84/D84)*(1+CALC!$A$3)</f>
        <v>21.750526015197014</v>
      </c>
    </row>
    <row r="85" spans="1:17" x14ac:dyDescent="0.25">
      <c r="Q85" s="16"/>
    </row>
    <row r="86" spans="1:17" ht="11" thickBot="1" x14ac:dyDescent="0.3">
      <c r="Q86" s="16"/>
    </row>
    <row r="87" spans="1:17" ht="11" thickBot="1" x14ac:dyDescent="0.3">
      <c r="A87" s="284" t="s">
        <v>10</v>
      </c>
      <c r="B87" s="285" t="s">
        <v>112</v>
      </c>
      <c r="D87" s="541" t="s">
        <v>26</v>
      </c>
      <c r="E87" s="542"/>
      <c r="F87" s="543"/>
      <c r="Q87" s="16"/>
    </row>
    <row r="88" spans="1:17" x14ac:dyDescent="0.25">
      <c r="Q88" s="16"/>
    </row>
    <row r="89" spans="1:17" s="470" customFormat="1" x14ac:dyDescent="0.25">
      <c r="A89" s="463" t="s">
        <v>1543</v>
      </c>
      <c r="B89" s="463" t="s">
        <v>1544</v>
      </c>
      <c r="C89" s="334">
        <v>99</v>
      </c>
      <c r="D89" s="464">
        <v>25</v>
      </c>
      <c r="E89" s="471">
        <f>+D89/P89*(CALC!$A$4)</f>
        <v>1631.9444444444443</v>
      </c>
      <c r="F89" s="466"/>
      <c r="G89" s="28">
        <f>CALC!$A$23*(CEM!I89/CEM!I$148)</f>
        <v>0</v>
      </c>
      <c r="H89" s="466">
        <f>3000*(1+CALC!$A$2)</f>
        <v>2325</v>
      </c>
      <c r="I89" s="466"/>
      <c r="J89" s="466"/>
      <c r="K89" s="528">
        <v>468</v>
      </c>
      <c r="L89" s="466"/>
      <c r="M89" s="466">
        <f t="shared" ref="M89:M103" si="18">SUM(E89:L89)</f>
        <v>4424.9444444444443</v>
      </c>
      <c r="N89" s="467">
        <f>M89/CALC!$A$8*CALC!$A$6</f>
        <v>71.750421012597016</v>
      </c>
      <c r="O89" s="466">
        <f>+M89+N89</f>
        <v>4496.6948654570415</v>
      </c>
      <c r="P89" s="468">
        <v>0.36</v>
      </c>
      <c r="Q89" s="469"/>
    </row>
    <row r="90" spans="1:17" s="470" customFormat="1" x14ac:dyDescent="0.25">
      <c r="A90" s="463" t="s">
        <v>29</v>
      </c>
      <c r="B90" s="463" t="s">
        <v>128</v>
      </c>
      <c r="C90" s="334">
        <v>101</v>
      </c>
      <c r="D90" s="464">
        <v>0</v>
      </c>
      <c r="E90" s="471">
        <f>+D90/P90*(CALC!$A$4)</f>
        <v>0</v>
      </c>
      <c r="F90" s="466"/>
      <c r="G90" s="28">
        <f>CALC!$A$23*(CEM!I90/CEM!I$148)</f>
        <v>0</v>
      </c>
      <c r="H90" s="466">
        <f>7000*(1+CALC!$A$2)</f>
        <v>5425</v>
      </c>
      <c r="I90" s="466"/>
      <c r="J90" s="466"/>
      <c r="K90" s="466">
        <v>468</v>
      </c>
      <c r="L90" s="466"/>
      <c r="M90" s="466">
        <f t="shared" si="18"/>
        <v>5893</v>
      </c>
      <c r="N90" s="467">
        <f>M90/CALC!$A$8*CALC!$A$6</f>
        <v>95.554924211103923</v>
      </c>
      <c r="O90" s="466">
        <f>+M90</f>
        <v>5893</v>
      </c>
      <c r="P90" s="468">
        <v>3</v>
      </c>
      <c r="Q90" s="469"/>
    </row>
    <row r="91" spans="1:17" s="470" customFormat="1" x14ac:dyDescent="0.25">
      <c r="A91" s="483" t="s">
        <v>64</v>
      </c>
      <c r="B91" s="483" t="s">
        <v>1461</v>
      </c>
      <c r="C91" s="484">
        <v>102</v>
      </c>
      <c r="D91" s="464">
        <v>0</v>
      </c>
      <c r="E91" s="471">
        <f>+D91/P91*(CALC!$A$4)</f>
        <v>0</v>
      </c>
      <c r="F91" s="466"/>
      <c r="G91" s="28">
        <f>CALC!$A$23*(CEM!I91/CEM!I$148)</f>
        <v>0</v>
      </c>
      <c r="H91" s="466">
        <f>3100*(1+CALC!$A$2)</f>
        <v>2402.5</v>
      </c>
      <c r="I91" s="466"/>
      <c r="J91" s="466"/>
      <c r="K91" s="466">
        <v>468</v>
      </c>
      <c r="L91" s="466"/>
      <c r="M91" s="466">
        <f t="shared" si="18"/>
        <v>2870.5</v>
      </c>
      <c r="N91" s="467">
        <f>M91/CALC!$A$8*CALC!$A$6</f>
        <v>46.545123018492077</v>
      </c>
      <c r="O91" s="466">
        <f>+M91+N91</f>
        <v>2917.0451230184922</v>
      </c>
      <c r="P91" s="468">
        <v>0.36</v>
      </c>
      <c r="Q91" s="469"/>
    </row>
    <row r="92" spans="1:17" s="470" customFormat="1" x14ac:dyDescent="0.25">
      <c r="A92" s="463" t="s">
        <v>1488</v>
      </c>
      <c r="B92" s="463" t="s">
        <v>1489</v>
      </c>
      <c r="C92" s="334">
        <v>104</v>
      </c>
      <c r="D92" s="464">
        <v>0</v>
      </c>
      <c r="E92" s="471">
        <f>+D92/P92*(CALC!$A$4)</f>
        <v>0</v>
      </c>
      <c r="F92" s="466"/>
      <c r="G92" s="28">
        <f>CALC!$A$23*(CEM!I92/CEM!I$148)</f>
        <v>0</v>
      </c>
      <c r="H92" s="466">
        <f>3100*(1+CALC!$A$2)</f>
        <v>2402.5</v>
      </c>
      <c r="I92" s="466"/>
      <c r="J92" s="466"/>
      <c r="K92" s="528">
        <f>168*1.06</f>
        <v>178.08</v>
      </c>
      <c r="L92" s="466"/>
      <c r="M92" s="466">
        <f t="shared" si="18"/>
        <v>2580.58</v>
      </c>
      <c r="N92" s="467">
        <f>M92/CALC!$A$8*CALC!$A$6</f>
        <v>41.844073701118369</v>
      </c>
      <c r="O92" s="466">
        <f>+M92</f>
        <v>2580.58</v>
      </c>
      <c r="P92" s="468">
        <v>2.5</v>
      </c>
      <c r="Q92" s="469"/>
    </row>
    <row r="93" spans="1:17" s="470" customFormat="1" x14ac:dyDescent="0.25">
      <c r="A93" s="463" t="s">
        <v>1535</v>
      </c>
      <c r="B93" s="463" t="s">
        <v>1536</v>
      </c>
      <c r="C93" s="334">
        <v>105</v>
      </c>
      <c r="D93" s="464">
        <v>0</v>
      </c>
      <c r="E93" s="471">
        <f>+D93/P93*(CALC!$A$4)</f>
        <v>0</v>
      </c>
      <c r="F93" s="466"/>
      <c r="G93" s="28">
        <f>CALC!$A$23*(CEM!I93/CEM!I$148)</f>
        <v>0</v>
      </c>
      <c r="H93" s="466">
        <f>3100*(1+CALC!$A$2)</f>
        <v>2402.5</v>
      </c>
      <c r="I93" s="466"/>
      <c r="J93" s="466"/>
      <c r="K93" s="528">
        <v>468</v>
      </c>
      <c r="L93" s="466"/>
      <c r="M93" s="466">
        <f t="shared" si="18"/>
        <v>2870.5</v>
      </c>
      <c r="N93" s="467">
        <f>M93/CALC!$A$8*CALC!$A$6</f>
        <v>46.545123018492077</v>
      </c>
      <c r="O93" s="466">
        <f>+M93</f>
        <v>2870.5</v>
      </c>
      <c r="P93" s="468">
        <v>1.8</v>
      </c>
      <c r="Q93" s="469"/>
    </row>
    <row r="94" spans="1:17" s="470" customFormat="1" x14ac:dyDescent="0.25">
      <c r="A94" s="463" t="s">
        <v>1550</v>
      </c>
      <c r="B94" s="463" t="s">
        <v>1551</v>
      </c>
      <c r="C94" s="334">
        <v>106</v>
      </c>
      <c r="D94" s="464">
        <v>0</v>
      </c>
      <c r="E94" s="471">
        <f>+D94/P94*(CALC!$A$4)</f>
        <v>0</v>
      </c>
      <c r="F94" s="466"/>
      <c r="G94" s="28">
        <f>CALC!$A$23*(CEM!I94/CEM!I$148)</f>
        <v>0</v>
      </c>
      <c r="H94" s="466">
        <f>3100*(1+CALC!$A$2)</f>
        <v>2402.5</v>
      </c>
      <c r="I94" s="466"/>
      <c r="J94" s="466"/>
      <c r="K94" s="528">
        <v>468</v>
      </c>
      <c r="L94" s="466"/>
      <c r="M94" s="466">
        <f t="shared" si="18"/>
        <v>2870.5</v>
      </c>
      <c r="N94" s="467">
        <f>M94/CALC!$A$8*CALC!$A$6</f>
        <v>46.545123018492077</v>
      </c>
      <c r="O94" s="466">
        <f>+M94</f>
        <v>2870.5</v>
      </c>
      <c r="P94" s="468">
        <v>2</v>
      </c>
      <c r="Q94" s="469"/>
    </row>
    <row r="95" spans="1:17" s="470" customFormat="1" x14ac:dyDescent="0.25">
      <c r="A95" s="463" t="s">
        <v>1484</v>
      </c>
      <c r="B95" s="463" t="s">
        <v>1485</v>
      </c>
      <c r="C95" s="334">
        <v>109</v>
      </c>
      <c r="D95" s="464">
        <v>0</v>
      </c>
      <c r="E95" s="471">
        <f>+D95/P95*(CALC!$A$4)</f>
        <v>0</v>
      </c>
      <c r="F95" s="466"/>
      <c r="G95" s="28">
        <f>CALC!$A$23*(CEM!I95/CEM!I$148)</f>
        <v>0</v>
      </c>
      <c r="H95" s="466"/>
      <c r="I95" s="466"/>
      <c r="J95" s="466"/>
      <c r="K95" s="528">
        <f>168*1.06</f>
        <v>178.08</v>
      </c>
      <c r="L95" s="466"/>
      <c r="M95" s="466">
        <f t="shared" si="18"/>
        <v>178.08</v>
      </c>
      <c r="N95" s="467">
        <f>M95/CALC!$A$8*CALC!$A$6</f>
        <v>2.8875650608371606</v>
      </c>
      <c r="O95" s="466">
        <f t="shared" ref="O95:O104" si="19">+M95+N95</f>
        <v>180.96756506083716</v>
      </c>
      <c r="P95" s="468">
        <v>0.1</v>
      </c>
      <c r="Q95" s="469"/>
    </row>
    <row r="96" spans="1:17" s="470" customFormat="1" x14ac:dyDescent="0.25">
      <c r="A96" s="507" t="s">
        <v>1519</v>
      </c>
      <c r="B96" s="507" t="s">
        <v>1520</v>
      </c>
      <c r="C96" s="508">
        <v>118</v>
      </c>
      <c r="D96" s="509">
        <v>0</v>
      </c>
      <c r="E96" s="471">
        <f>+D96/P96*(CALC!$A$4)</f>
        <v>0</v>
      </c>
      <c r="F96" s="466">
        <v>0</v>
      </c>
      <c r="G96" s="28">
        <f>CALC!$A$23*(CEM!I96/CEM!I$148)</f>
        <v>0</v>
      </c>
      <c r="H96" s="466">
        <v>0</v>
      </c>
      <c r="I96" s="466"/>
      <c r="J96" s="466"/>
      <c r="K96" s="528">
        <v>0</v>
      </c>
      <c r="L96" s="466"/>
      <c r="M96" s="466">
        <f t="shared" si="18"/>
        <v>0</v>
      </c>
      <c r="N96" s="467">
        <f>M96/CALC!$A$8*CALC!$A$6</f>
        <v>0</v>
      </c>
      <c r="O96" s="466">
        <f t="shared" si="19"/>
        <v>0</v>
      </c>
      <c r="P96" s="468">
        <v>0.27</v>
      </c>
      <c r="Q96" s="469"/>
    </row>
    <row r="97" spans="1:17" s="470" customFormat="1" x14ac:dyDescent="0.25">
      <c r="A97" s="507" t="s">
        <v>1521</v>
      </c>
      <c r="B97" s="507" t="s">
        <v>1522</v>
      </c>
      <c r="C97" s="508">
        <v>119</v>
      </c>
      <c r="D97" s="509">
        <v>0</v>
      </c>
      <c r="E97" s="471">
        <f>+D97/P97*(CALC!$A$4)</f>
        <v>0</v>
      </c>
      <c r="F97" s="466">
        <v>0</v>
      </c>
      <c r="G97" s="28">
        <f>CALC!$A$23*(CEM!I97/CEM!I$148)</f>
        <v>0</v>
      </c>
      <c r="H97" s="466">
        <v>0</v>
      </c>
      <c r="I97" s="466"/>
      <c r="J97" s="466"/>
      <c r="K97" s="528">
        <v>0</v>
      </c>
      <c r="L97" s="466"/>
      <c r="M97" s="466">
        <f t="shared" si="18"/>
        <v>0</v>
      </c>
      <c r="N97" s="467">
        <f>M97/CALC!$A$8*CALC!$A$6</f>
        <v>0</v>
      </c>
      <c r="O97" s="466">
        <f t="shared" si="19"/>
        <v>0</v>
      </c>
      <c r="P97" s="468">
        <v>0.27</v>
      </c>
      <c r="Q97" s="469"/>
    </row>
    <row r="98" spans="1:17" s="470" customFormat="1" x14ac:dyDescent="0.25">
      <c r="A98" s="507" t="s">
        <v>1537</v>
      </c>
      <c r="B98" s="507" t="s">
        <v>1538</v>
      </c>
      <c r="C98" s="508">
        <v>120</v>
      </c>
      <c r="D98" s="509">
        <v>0</v>
      </c>
      <c r="E98" s="471">
        <f>+D98/P98*(CALC!$A$4)</f>
        <v>0</v>
      </c>
      <c r="F98" s="466"/>
      <c r="G98" s="28">
        <f>CALC!$A$23*(CEM!I98/CEM!I$148)</f>
        <v>0</v>
      </c>
      <c r="H98" s="466">
        <v>0</v>
      </c>
      <c r="I98" s="466"/>
      <c r="J98" s="466"/>
      <c r="K98" s="466">
        <v>0</v>
      </c>
      <c r="L98" s="466"/>
      <c r="M98" s="466">
        <f t="shared" si="18"/>
        <v>0</v>
      </c>
      <c r="N98" s="467">
        <f>M98/CALC!$A$8*CALC!$A$6</f>
        <v>0</v>
      </c>
      <c r="O98" s="466">
        <f t="shared" si="19"/>
        <v>0</v>
      </c>
      <c r="P98" s="468">
        <v>0.1</v>
      </c>
      <c r="Q98" s="469"/>
    </row>
    <row r="99" spans="1:17" s="470" customFormat="1" x14ac:dyDescent="0.25">
      <c r="A99" s="463" t="s">
        <v>1545</v>
      </c>
      <c r="B99" s="463" t="s">
        <v>1460</v>
      </c>
      <c r="C99" s="334">
        <v>122</v>
      </c>
      <c r="D99" s="464">
        <v>50</v>
      </c>
      <c r="E99" s="471">
        <f>+D99/P99*(CALC!$A$4)</f>
        <v>9791.6666666666679</v>
      </c>
      <c r="F99" s="466"/>
      <c r="G99" s="28">
        <f>CALC!$A$23*(CEM!I99/CEM!I$148)</f>
        <v>0</v>
      </c>
      <c r="H99" s="466">
        <f>2000*(1+CALC!$A$2)</f>
        <v>1550</v>
      </c>
      <c r="I99" s="466"/>
      <c r="J99" s="466"/>
      <c r="K99" s="528">
        <v>468</v>
      </c>
      <c r="L99" s="466"/>
      <c r="M99" s="466">
        <f t="shared" si="18"/>
        <v>11809.666666666668</v>
      </c>
      <c r="N99" s="467">
        <f>M99/CALC!$A$8*CALC!$A$6</f>
        <v>191.49360313791513</v>
      </c>
      <c r="O99" s="466">
        <f t="shared" si="19"/>
        <v>12001.160269804583</v>
      </c>
      <c r="P99" s="468">
        <v>0.12</v>
      </c>
      <c r="Q99" s="469"/>
    </row>
    <row r="100" spans="1:17" s="470" customFormat="1" x14ac:dyDescent="0.25">
      <c r="A100" s="463" t="s">
        <v>64</v>
      </c>
      <c r="B100" s="463" t="s">
        <v>124</v>
      </c>
      <c r="C100" s="334">
        <v>264</v>
      </c>
      <c r="D100" s="464">
        <v>100</v>
      </c>
      <c r="E100" s="471">
        <f>+D100/P100*(CALC!$A$4)</f>
        <v>6527.7777777777774</v>
      </c>
      <c r="F100" s="466"/>
      <c r="G100" s="28">
        <f>CALC!$A$23*(CEM!I100/CEM!I$148)</f>
        <v>0</v>
      </c>
      <c r="H100" s="466">
        <f>2000*(1+CALC!$A$2)</f>
        <v>1550</v>
      </c>
      <c r="I100" s="466"/>
      <c r="J100" s="466"/>
      <c r="K100" s="466">
        <v>0</v>
      </c>
      <c r="L100" s="466"/>
      <c r="M100" s="466">
        <f t="shared" si="18"/>
        <v>8077.7777777777774</v>
      </c>
      <c r="N100" s="467">
        <f>M100/CALC!$A$8*CALC!$A$6</f>
        <v>130.98106963341169</v>
      </c>
      <c r="O100" s="466">
        <f t="shared" si="19"/>
        <v>8208.758847411189</v>
      </c>
      <c r="P100" s="468">
        <v>0.36</v>
      </c>
      <c r="Q100" s="469"/>
    </row>
    <row r="101" spans="1:17" s="470" customFormat="1" x14ac:dyDescent="0.25">
      <c r="A101" s="463" t="s">
        <v>64</v>
      </c>
      <c r="B101" s="463" t="s">
        <v>125</v>
      </c>
      <c r="C101" s="334">
        <v>265</v>
      </c>
      <c r="D101" s="464">
        <v>100</v>
      </c>
      <c r="E101" s="471">
        <f>+D101/P101*(CALC!$A$4)</f>
        <v>6527.7777777777774</v>
      </c>
      <c r="F101" s="466"/>
      <c r="G101" s="28">
        <f>CALC!$A$23*(CEM!I101/CEM!I$148)</f>
        <v>0</v>
      </c>
      <c r="H101" s="466">
        <f>2000*(1+CALC!$A$2)</f>
        <v>1550</v>
      </c>
      <c r="I101" s="466"/>
      <c r="J101" s="466"/>
      <c r="K101" s="466">
        <v>0</v>
      </c>
      <c r="L101" s="466"/>
      <c r="M101" s="466">
        <f t="shared" si="18"/>
        <v>8077.7777777777774</v>
      </c>
      <c r="N101" s="467">
        <f>M101/CALC!$A$8*CALC!$A$6</f>
        <v>130.98106963341169</v>
      </c>
      <c r="O101" s="466">
        <f t="shared" si="19"/>
        <v>8208.758847411189</v>
      </c>
      <c r="P101" s="468">
        <v>0.36</v>
      </c>
      <c r="Q101" s="469"/>
    </row>
    <row r="102" spans="1:17" s="470" customFormat="1" x14ac:dyDescent="0.25">
      <c r="A102" s="463" t="s">
        <v>64</v>
      </c>
      <c r="B102" s="463" t="s">
        <v>126</v>
      </c>
      <c r="C102" s="334">
        <v>266</v>
      </c>
      <c r="D102" s="464">
        <v>100</v>
      </c>
      <c r="E102" s="471">
        <f>+D102/P102*(CALC!$A$4)</f>
        <v>6527.7777777777774</v>
      </c>
      <c r="F102" s="466"/>
      <c r="G102" s="28">
        <f>CALC!$A$23*(CEM!I102/CEM!I$148)</f>
        <v>0</v>
      </c>
      <c r="H102" s="466">
        <f>2000*(1+CALC!$A$2)</f>
        <v>1550</v>
      </c>
      <c r="I102" s="466"/>
      <c r="J102" s="466"/>
      <c r="K102" s="466">
        <v>0</v>
      </c>
      <c r="L102" s="466"/>
      <c r="M102" s="466">
        <f t="shared" si="18"/>
        <v>8077.7777777777774</v>
      </c>
      <c r="N102" s="467">
        <f>M102/CALC!$A$8*CALC!$A$6</f>
        <v>130.98106963341169</v>
      </c>
      <c r="O102" s="466">
        <f t="shared" si="19"/>
        <v>8208.758847411189</v>
      </c>
      <c r="P102" s="468">
        <v>0.36</v>
      </c>
      <c r="Q102" s="469"/>
    </row>
    <row r="103" spans="1:17" s="470" customFormat="1" x14ac:dyDescent="0.25">
      <c r="A103" s="463" t="s">
        <v>64</v>
      </c>
      <c r="B103" s="463" t="s">
        <v>127</v>
      </c>
      <c r="C103" s="334">
        <v>267</v>
      </c>
      <c r="D103" s="464">
        <v>100</v>
      </c>
      <c r="E103" s="471">
        <f>+D103/P103*(CALC!$A$4)</f>
        <v>6527.7777777777774</v>
      </c>
      <c r="F103" s="466"/>
      <c r="G103" s="28">
        <f>CALC!$A$23*(CEM!I103/CEM!I$148)</f>
        <v>0</v>
      </c>
      <c r="H103" s="466">
        <f>2000*(1+CALC!$A$2)</f>
        <v>1550</v>
      </c>
      <c r="I103" s="466"/>
      <c r="J103" s="466"/>
      <c r="K103" s="466">
        <v>0</v>
      </c>
      <c r="L103" s="466"/>
      <c r="M103" s="466">
        <f t="shared" si="18"/>
        <v>8077.7777777777774</v>
      </c>
      <c r="N103" s="467">
        <f>M103/CALC!$A$8*CALC!$A$6</f>
        <v>130.98106963341169</v>
      </c>
      <c r="O103" s="466">
        <f t="shared" si="19"/>
        <v>8208.758847411189</v>
      </c>
      <c r="P103" s="468">
        <v>0.36</v>
      </c>
      <c r="Q103" s="469"/>
    </row>
    <row r="104" spans="1:17" s="7" customFormat="1" x14ac:dyDescent="0.25">
      <c r="B104" s="3" t="s">
        <v>14</v>
      </c>
      <c r="C104" s="18"/>
      <c r="D104" s="12">
        <f>SUM(D89:D103)</f>
        <v>475</v>
      </c>
      <c r="E104" s="24">
        <f t="shared" ref="E104:M104" si="20">SUM(E89:E103)</f>
        <v>37534.722222222219</v>
      </c>
      <c r="F104" s="10">
        <f t="shared" si="20"/>
        <v>0</v>
      </c>
      <c r="G104" s="10">
        <f t="shared" si="20"/>
        <v>0</v>
      </c>
      <c r="H104" s="10">
        <f t="shared" si="20"/>
        <v>25110</v>
      </c>
      <c r="I104" s="10">
        <f t="shared" si="20"/>
        <v>0</v>
      </c>
      <c r="J104" s="10"/>
      <c r="K104" s="10">
        <f t="shared" si="20"/>
        <v>3164.16</v>
      </c>
      <c r="L104" s="10">
        <f t="shared" si="20"/>
        <v>0</v>
      </c>
      <c r="M104" s="10">
        <f t="shared" si="20"/>
        <v>65808.882222222237</v>
      </c>
      <c r="N104" s="10">
        <f>M104/CALC!$A$8*CALC!$A$6</f>
        <v>1067.0902347126948</v>
      </c>
      <c r="O104" s="10">
        <f t="shared" si="19"/>
        <v>66875.972456934935</v>
      </c>
      <c r="P104" s="25"/>
      <c r="Q104" s="111">
        <f>(+O104/D104)*(1+CALC!$A$3)</f>
        <v>140.79152096196827</v>
      </c>
    </row>
    <row r="105" spans="1:17" x14ac:dyDescent="0.25">
      <c r="Q105" s="16"/>
    </row>
    <row r="106" spans="1:17" x14ac:dyDescent="0.25">
      <c r="A106" s="8"/>
      <c r="B106" s="8"/>
      <c r="C106" s="14"/>
      <c r="D106" s="6"/>
      <c r="E106" s="22"/>
      <c r="F106" s="9"/>
      <c r="G106" s="9"/>
      <c r="H106" s="9"/>
      <c r="I106" s="9"/>
      <c r="J106" s="9"/>
      <c r="K106" s="9"/>
      <c r="L106" s="9"/>
      <c r="M106" s="9"/>
      <c r="N106" s="10"/>
      <c r="O106" s="9"/>
      <c r="P106" s="23">
        <v>0.36</v>
      </c>
      <c r="Q106" s="16"/>
    </row>
    <row r="107" spans="1:17" s="7" customFormat="1" x14ac:dyDescent="0.25">
      <c r="B107" s="3"/>
      <c r="C107" s="18"/>
      <c r="D107" s="12"/>
      <c r="E107" s="10">
        <f t="shared" ref="E107:M107" si="21">SUM(E106:E106)</f>
        <v>0</v>
      </c>
      <c r="F107" s="10">
        <f t="shared" si="21"/>
        <v>0</v>
      </c>
      <c r="G107" s="10">
        <f t="shared" si="21"/>
        <v>0</v>
      </c>
      <c r="H107" s="10">
        <f t="shared" si="21"/>
        <v>0</v>
      </c>
      <c r="I107" s="10">
        <f t="shared" si="21"/>
        <v>0</v>
      </c>
      <c r="J107" s="10"/>
      <c r="K107" s="10">
        <f t="shared" si="21"/>
        <v>0</v>
      </c>
      <c r="L107" s="10">
        <f t="shared" si="21"/>
        <v>0</v>
      </c>
      <c r="M107" s="10">
        <f t="shared" si="21"/>
        <v>0</v>
      </c>
      <c r="N107" s="10">
        <f>M107/CALC!$A$8*CALC!$A$6</f>
        <v>0</v>
      </c>
      <c r="O107" s="10">
        <f>+M107+N107</f>
        <v>0</v>
      </c>
      <c r="P107" s="25"/>
      <c r="Q107" s="27"/>
    </row>
    <row r="108" spans="1:17" ht="11" thickBot="1" x14ac:dyDescent="0.3">
      <c r="Q108" s="16"/>
    </row>
    <row r="109" spans="1:17" ht="11" thickBot="1" x14ac:dyDescent="0.3">
      <c r="A109" s="284" t="s">
        <v>10</v>
      </c>
      <c r="B109" s="285" t="s">
        <v>113</v>
      </c>
      <c r="D109" s="541" t="s">
        <v>17</v>
      </c>
      <c r="E109" s="542"/>
      <c r="F109" s="543"/>
      <c r="Q109" s="16"/>
    </row>
    <row r="110" spans="1:17" x14ac:dyDescent="0.25">
      <c r="Q110" s="16"/>
    </row>
    <row r="111" spans="1:17" s="470" customFormat="1" x14ac:dyDescent="0.25">
      <c r="A111" s="463" t="s">
        <v>1511</v>
      </c>
      <c r="B111" s="463" t="s">
        <v>1512</v>
      </c>
      <c r="C111" s="334">
        <v>150</v>
      </c>
      <c r="D111" s="464">
        <v>50</v>
      </c>
      <c r="E111" s="471">
        <f>+D111/P111*(CALC!$A$4)</f>
        <v>3916.666666666667</v>
      </c>
      <c r="F111" s="466">
        <v>3000</v>
      </c>
      <c r="G111" s="28">
        <f>CALC!$A$23*(CEM!I111/CEM!I$148)</f>
        <v>0</v>
      </c>
      <c r="H111" s="466">
        <f>5000*(1+CALC!$A$2)</f>
        <v>3875</v>
      </c>
      <c r="I111" s="466"/>
      <c r="J111" s="466"/>
      <c r="K111" s="528">
        <v>390</v>
      </c>
      <c r="L111" s="466"/>
      <c r="M111" s="466">
        <f>SUM(E111:L111)</f>
        <v>11181.666666666668</v>
      </c>
      <c r="N111" s="467">
        <f>M111/CALC!$A$8*CALC!$A$6</f>
        <v>181.31059068168344</v>
      </c>
      <c r="O111" s="466">
        <f>+M111+N111</f>
        <v>11362.977257348351</v>
      </c>
      <c r="P111" s="468">
        <v>0.3</v>
      </c>
      <c r="Q111" s="469"/>
    </row>
    <row r="112" spans="1:17" s="470" customFormat="1" x14ac:dyDescent="0.25">
      <c r="A112" s="463" t="s">
        <v>1523</v>
      </c>
      <c r="B112" s="463" t="s">
        <v>1524</v>
      </c>
      <c r="C112" s="334">
        <v>77</v>
      </c>
      <c r="D112" s="464">
        <v>100</v>
      </c>
      <c r="E112" s="471">
        <f>+D112/P112*(CALC!$A$4)</f>
        <v>11750</v>
      </c>
      <c r="F112" s="466">
        <v>3000</v>
      </c>
      <c r="G112" s="28">
        <f>CALC!$A$23*(CEM!I112/CEM!I$148)</f>
        <v>0</v>
      </c>
      <c r="H112" s="466">
        <f>3100*(1+CALC!$A$2)</f>
        <v>2402.5</v>
      </c>
      <c r="I112" s="466"/>
      <c r="J112" s="466"/>
      <c r="K112" s="528">
        <v>390</v>
      </c>
      <c r="L112" s="466"/>
      <c r="M112" s="466">
        <f>SUM(E112:L112)</f>
        <v>17542.5</v>
      </c>
      <c r="N112" s="467">
        <f>M112/CALC!$A$8*CALC!$A$6</f>
        <v>284.45142677300026</v>
      </c>
      <c r="O112" s="466">
        <f>+M112+N112</f>
        <v>17826.951426773001</v>
      </c>
      <c r="P112" s="468">
        <v>0.2</v>
      </c>
      <c r="Q112" s="469"/>
    </row>
    <row r="113" spans="1:17" s="470" customFormat="1" x14ac:dyDescent="0.25">
      <c r="A113" s="463" t="s">
        <v>1469</v>
      </c>
      <c r="B113" s="463" t="s">
        <v>1470</v>
      </c>
      <c r="C113" s="334">
        <v>81</v>
      </c>
      <c r="D113" s="464">
        <v>110</v>
      </c>
      <c r="E113" s="471">
        <f>+D113/P113*(CALC!$A$4)</f>
        <v>16156.25</v>
      </c>
      <c r="F113" s="466">
        <v>3000</v>
      </c>
      <c r="G113" s="28">
        <f>CALC!$A$23*(CEM!I113/CEM!I$148)</f>
        <v>0</v>
      </c>
      <c r="H113" s="466">
        <f>3100*(1+CALC!$A$2)</f>
        <v>2402.5</v>
      </c>
      <c r="I113" s="466"/>
      <c r="J113" s="466"/>
      <c r="K113" s="528">
        <f>258*1.06</f>
        <v>273.48</v>
      </c>
      <c r="L113" s="466"/>
      <c r="M113" s="466">
        <f>SUM(E113:L113)</f>
        <v>21832.23</v>
      </c>
      <c r="N113" s="467">
        <f>M113/CALC!$A$8*CALC!$A$6</f>
        <v>354.0093471931765</v>
      </c>
      <c r="O113" s="466">
        <f>+M113+N113</f>
        <v>22186.239347193175</v>
      </c>
      <c r="P113" s="468">
        <v>0.16</v>
      </c>
      <c r="Q113" s="469"/>
    </row>
    <row r="114" spans="1:17" s="7" customFormat="1" x14ac:dyDescent="0.25">
      <c r="B114" s="3" t="s">
        <v>14</v>
      </c>
      <c r="C114" s="18"/>
      <c r="D114" s="12">
        <f>SUM(D111:D113)</f>
        <v>260</v>
      </c>
      <c r="E114" s="24">
        <f>SUM(E111:E113)</f>
        <v>31822.916666666668</v>
      </c>
      <c r="F114" s="24">
        <f t="shared" ref="F114:O114" si="22">SUM(F111:F113)</f>
        <v>9000</v>
      </c>
      <c r="G114" s="24">
        <f t="shared" si="22"/>
        <v>0</v>
      </c>
      <c r="H114" s="24">
        <f t="shared" si="22"/>
        <v>8680</v>
      </c>
      <c r="I114" s="24">
        <f t="shared" si="22"/>
        <v>0</v>
      </c>
      <c r="J114" s="24">
        <f t="shared" si="22"/>
        <v>0</v>
      </c>
      <c r="K114" s="24">
        <f t="shared" si="22"/>
        <v>1053.48</v>
      </c>
      <c r="L114" s="24">
        <f t="shared" si="22"/>
        <v>0</v>
      </c>
      <c r="M114" s="24">
        <f t="shared" si="22"/>
        <v>50556.396666666667</v>
      </c>
      <c r="N114" s="24">
        <f t="shared" si="22"/>
        <v>819.7713646478602</v>
      </c>
      <c r="O114" s="24">
        <f t="shared" si="22"/>
        <v>51376.168031314533</v>
      </c>
      <c r="P114" s="25"/>
      <c r="Q114" s="111">
        <f>(+O114/D114)*(1+CALC!$A$3)</f>
        <v>197.60064627428667</v>
      </c>
    </row>
    <row r="115" spans="1:17" ht="11" thickBot="1" x14ac:dyDescent="0.3">
      <c r="Q115" s="16"/>
    </row>
    <row r="116" spans="1:17" ht="11" thickBot="1" x14ac:dyDescent="0.3">
      <c r="A116" s="284" t="s">
        <v>10</v>
      </c>
      <c r="B116" s="285" t="s">
        <v>114</v>
      </c>
      <c r="D116" s="541" t="s">
        <v>38</v>
      </c>
      <c r="E116" s="542"/>
      <c r="F116" s="543"/>
      <c r="Q116" s="16"/>
    </row>
    <row r="117" spans="1:17" x14ac:dyDescent="0.25">
      <c r="Q117" s="16"/>
    </row>
    <row r="118" spans="1:17" s="470" customFormat="1" x14ac:dyDescent="0.25">
      <c r="A118" s="463" t="s">
        <v>1533</v>
      </c>
      <c r="B118" s="463" t="s">
        <v>1534</v>
      </c>
      <c r="C118" s="334">
        <v>86</v>
      </c>
      <c r="D118" s="464"/>
      <c r="E118" s="471"/>
      <c r="F118" s="466"/>
      <c r="G118" s="28">
        <f>CALC!$A$23*(CEM!I118/CEM!I$148)</f>
        <v>0</v>
      </c>
      <c r="H118" s="466">
        <f>1500*(1+CALC!$A$2)</f>
        <v>1162.5</v>
      </c>
      <c r="I118" s="466"/>
      <c r="J118" s="466"/>
      <c r="K118" s="528">
        <v>468</v>
      </c>
      <c r="L118" s="466"/>
      <c r="M118" s="466">
        <f t="shared" ref="M118:M123" si="23">SUM(E118:L118)</f>
        <v>1630.5</v>
      </c>
      <c r="N118" s="467">
        <f>M118/CALC!$A$8*CALC!$A$6</f>
        <v>26.438537913830807</v>
      </c>
      <c r="O118" s="466">
        <f t="shared" ref="O118:O123" si="24">+M118</f>
        <v>1630.5</v>
      </c>
      <c r="P118" s="468"/>
      <c r="Q118" s="469"/>
    </row>
    <row r="119" spans="1:17" s="470" customFormat="1" x14ac:dyDescent="0.25">
      <c r="A119" s="463" t="s">
        <v>16</v>
      </c>
      <c r="B119" s="463" t="s">
        <v>129</v>
      </c>
      <c r="C119" s="334">
        <v>87</v>
      </c>
      <c r="D119" s="464"/>
      <c r="E119" s="471"/>
      <c r="F119" s="466"/>
      <c r="G119" s="28">
        <f>CALC!$A$23*(CEM!I119/CEM!I$148)</f>
        <v>0</v>
      </c>
      <c r="H119" s="466">
        <f>1500*(1+CALC!$A$2)</f>
        <v>1162.5</v>
      </c>
      <c r="I119" s="466"/>
      <c r="J119" s="466"/>
      <c r="K119" s="466">
        <v>468</v>
      </c>
      <c r="L119" s="466"/>
      <c r="M119" s="466">
        <f t="shared" si="23"/>
        <v>1630.5</v>
      </c>
      <c r="N119" s="467">
        <f>M119/CALC!$A$8*CALC!$A$6</f>
        <v>26.438537913830807</v>
      </c>
      <c r="O119" s="466">
        <f t="shared" si="24"/>
        <v>1630.5</v>
      </c>
      <c r="P119" s="468"/>
      <c r="Q119" s="469"/>
    </row>
    <row r="120" spans="1:17" x14ac:dyDescent="0.25">
      <c r="A120" s="8"/>
      <c r="B120" s="8"/>
      <c r="C120" s="14"/>
      <c r="D120" s="6"/>
      <c r="E120" s="22"/>
      <c r="F120" s="9"/>
      <c r="G120" s="28">
        <f>CALC!$A$23*(CEM!I120/CEM!I$148)</f>
        <v>0</v>
      </c>
      <c r="H120" s="9"/>
      <c r="I120" s="9"/>
      <c r="J120" s="9"/>
      <c r="K120" s="9"/>
      <c r="L120" s="9"/>
      <c r="M120" s="9"/>
      <c r="N120" s="10"/>
      <c r="O120" s="9"/>
      <c r="P120" s="23"/>
      <c r="Q120" s="16"/>
    </row>
    <row r="121" spans="1:17" s="470" customFormat="1" x14ac:dyDescent="0.25">
      <c r="A121" s="463" t="s">
        <v>1507</v>
      </c>
      <c r="B121" s="463" t="s">
        <v>1508</v>
      </c>
      <c r="C121" s="334">
        <v>89</v>
      </c>
      <c r="D121" s="464"/>
      <c r="E121" s="471"/>
      <c r="F121" s="466"/>
      <c r="G121" s="28">
        <f>CALC!$A$23*(CEM!I121/CEM!I$148)</f>
        <v>0</v>
      </c>
      <c r="H121" s="466">
        <f>1500*(1+CALC!$A$2)</f>
        <v>1162.5</v>
      </c>
      <c r="I121" s="466"/>
      <c r="J121" s="466"/>
      <c r="K121" s="528">
        <v>468</v>
      </c>
      <c r="L121" s="466"/>
      <c r="M121" s="466">
        <f t="shared" si="23"/>
        <v>1630.5</v>
      </c>
      <c r="N121" s="467">
        <f>M121/CALC!$A$8*CALC!$A$6</f>
        <v>26.438537913830807</v>
      </c>
      <c r="O121" s="466">
        <f t="shared" si="24"/>
        <v>1630.5</v>
      </c>
      <c r="P121" s="468"/>
      <c r="Q121" s="469"/>
    </row>
    <row r="122" spans="1:17" s="470" customFormat="1" x14ac:dyDescent="0.25">
      <c r="A122" s="463" t="s">
        <v>1525</v>
      </c>
      <c r="B122" s="463" t="s">
        <v>1526</v>
      </c>
      <c r="C122" s="334">
        <v>90</v>
      </c>
      <c r="D122" s="464"/>
      <c r="E122" s="471"/>
      <c r="F122" s="466"/>
      <c r="G122" s="28">
        <f>CALC!$A$23*(CEM!I122/CEM!I$148)</f>
        <v>0</v>
      </c>
      <c r="H122" s="466">
        <f>1500*(1+CALC!$A$2)</f>
        <v>1162.5</v>
      </c>
      <c r="I122" s="466"/>
      <c r="J122" s="466"/>
      <c r="K122" s="528">
        <v>468</v>
      </c>
      <c r="L122" s="466"/>
      <c r="M122" s="466">
        <f t="shared" si="23"/>
        <v>1630.5</v>
      </c>
      <c r="N122" s="467">
        <f>M122/CALC!$A$8*CALC!$A$6</f>
        <v>26.438537913830807</v>
      </c>
      <c r="O122" s="466">
        <f t="shared" si="24"/>
        <v>1630.5</v>
      </c>
      <c r="P122" s="468"/>
      <c r="Q122" s="469"/>
    </row>
    <row r="123" spans="1:17" s="470" customFormat="1" x14ac:dyDescent="0.25">
      <c r="A123" s="463" t="s">
        <v>1527</v>
      </c>
      <c r="B123" s="463" t="s">
        <v>1528</v>
      </c>
      <c r="C123" s="334">
        <v>91</v>
      </c>
      <c r="D123" s="464"/>
      <c r="E123" s="471"/>
      <c r="F123" s="466"/>
      <c r="G123" s="28">
        <f>CALC!$A$23*(CEM!I123/CEM!I$148)</f>
        <v>0</v>
      </c>
      <c r="H123" s="466">
        <f>1500*(1+CALC!$A$2)</f>
        <v>1162.5</v>
      </c>
      <c r="I123" s="466"/>
      <c r="J123" s="466"/>
      <c r="K123" s="528">
        <v>468</v>
      </c>
      <c r="L123" s="466"/>
      <c r="M123" s="466">
        <f t="shared" si="23"/>
        <v>1630.5</v>
      </c>
      <c r="N123" s="467">
        <f>M123/CALC!$A$8*CALC!$A$6</f>
        <v>26.438537913830807</v>
      </c>
      <c r="O123" s="466">
        <f t="shared" si="24"/>
        <v>1630.5</v>
      </c>
      <c r="P123" s="468"/>
      <c r="Q123" s="469"/>
    </row>
    <row r="124" spans="1:17" s="7" customFormat="1" x14ac:dyDescent="0.25">
      <c r="B124" s="3" t="s">
        <v>14</v>
      </c>
      <c r="C124" s="18"/>
      <c r="D124" s="12">
        <f t="shared" ref="D124:K124" si="25">SUM(D118:D123)</f>
        <v>0</v>
      </c>
      <c r="E124" s="10">
        <f t="shared" si="25"/>
        <v>0</v>
      </c>
      <c r="F124" s="10">
        <f t="shared" si="25"/>
        <v>0</v>
      </c>
      <c r="G124" s="10">
        <f t="shared" si="25"/>
        <v>0</v>
      </c>
      <c r="H124" s="10">
        <f t="shared" si="25"/>
        <v>5812.5</v>
      </c>
      <c r="I124" s="10">
        <f t="shared" si="25"/>
        <v>0</v>
      </c>
      <c r="J124" s="10"/>
      <c r="K124" s="10">
        <f t="shared" si="25"/>
        <v>2340</v>
      </c>
      <c r="L124" s="10">
        <f>SUM(L118:L123)</f>
        <v>0</v>
      </c>
      <c r="M124" s="10">
        <f>SUM(M118:M123)</f>
        <v>8152.5</v>
      </c>
      <c r="N124" s="10">
        <f>M124/CALC!$A$8*CALC!$A$6</f>
        <v>132.19268956915403</v>
      </c>
      <c r="O124" s="10">
        <f>+M124+N124</f>
        <v>8284.692689569154</v>
      </c>
      <c r="P124" s="25"/>
      <c r="Q124" s="27"/>
    </row>
    <row r="125" spans="1:17" s="7" customFormat="1" ht="11" thickBot="1" x14ac:dyDescent="0.3">
      <c r="C125" s="29"/>
      <c r="D125" s="30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27"/>
    </row>
    <row r="126" spans="1:17" s="7" customFormat="1" ht="11" thickBot="1" x14ac:dyDescent="0.3">
      <c r="A126" s="32" t="s">
        <v>39</v>
      </c>
      <c r="B126" s="58" t="s">
        <v>14</v>
      </c>
      <c r="C126" s="59"/>
      <c r="D126" s="60">
        <f>+D16+D20+D21+D27+D28+D30+D35+D40+D46+D47+D58+D64+D70+D76+D84+D104+D114</f>
        <v>308635</v>
      </c>
      <c r="E126" s="248">
        <f>+E16+E20+E21+E27+E28+E30+E35+E40+E46+E47+E58+E64+E70+E76+E84+E104+E114</f>
        <v>4712972.2703520348</v>
      </c>
      <c r="F126" s="248">
        <f>+F16+F20+F21+F27+F28+F30+F35+F40+F46+F47+F58+F64+F70+F76+F84+F104+F114+F124</f>
        <v>640800</v>
      </c>
      <c r="G126" s="248">
        <f>+G16+G20+G21+G27+G28+G30+G35+G40+G46+G47+G58+G64+G70+G76+G84+G104+G114+G124</f>
        <v>266443.15085189044</v>
      </c>
      <c r="H126" s="248">
        <f>+H16+H20+H21+H27+H28+H30+H35+H40+H46+H47+H58+H64+H70+H76+H84+H104+H114+H124</f>
        <v>4287602.5</v>
      </c>
      <c r="I126" s="248">
        <f>+I16+I20+I21+I27+I28+I30+I35+I40+I46+I47+I58+I64+I70+I76+I84+I104+I114+I124</f>
        <v>1884656.8824999998</v>
      </c>
      <c r="J126" s="248">
        <f>+J16+J20+J21+J27+J28+J30+J35+J40+J46+J47+J58+J64+J70+J76+J84+J104+J114+J124</f>
        <v>0</v>
      </c>
      <c r="K126" s="248">
        <f>+K16+K20+K21+K27+K28+K30+K35+K40+K46+K47+K58+K64+K70+K76+K84+K104+K114+K124</f>
        <v>116848.56000000001</v>
      </c>
      <c r="L126" s="248">
        <f>+L16+L20+L21+L27+L28+L30+L35+L40+L46+L47+L58+L64+L70+L76+L84+L104+L114+L124</f>
        <v>0</v>
      </c>
      <c r="M126" s="248">
        <f>+M16+M20+M21+M27+M28+M30+M35+M40+M46+M47+M58+M64+M70+M76+M84+M104+M114+M124</f>
        <v>10661923.363703925</v>
      </c>
      <c r="N126" s="248">
        <f>+N16+N20+N21+N27+N28+N30+N35+N40+N46+N47+N58+N64+N70+N76+N84+N104+N114+N124</f>
        <v>172882.95926749136</v>
      </c>
      <c r="O126" s="248">
        <f>+O16+O20+O21+O27+O28+O30+O35+O40+O46+O47+O58+O64+O70+O76+O84+O104+O114+O124</f>
        <v>10834806.322971418</v>
      </c>
      <c r="P126" s="16"/>
      <c r="Q126" s="16"/>
    </row>
    <row r="127" spans="1:17" s="7" customFormat="1" ht="11" thickBot="1" x14ac:dyDescent="0.3">
      <c r="C127" s="29"/>
      <c r="D127" s="30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27"/>
    </row>
    <row r="128" spans="1:17" ht="11" thickBot="1" x14ac:dyDescent="0.3">
      <c r="A128" s="284" t="s">
        <v>10</v>
      </c>
      <c r="B128" s="285" t="s">
        <v>115</v>
      </c>
      <c r="D128" s="541" t="s">
        <v>16</v>
      </c>
      <c r="E128" s="542"/>
      <c r="F128" s="543"/>
      <c r="Q128" s="16"/>
    </row>
    <row r="129" spans="1:20" x14ac:dyDescent="0.25">
      <c r="Q129" s="16"/>
    </row>
    <row r="130" spans="1:20" s="470" customFormat="1" x14ac:dyDescent="0.25">
      <c r="A130" s="463" t="s">
        <v>71</v>
      </c>
      <c r="B130" s="463" t="s">
        <v>88</v>
      </c>
      <c r="C130" s="334">
        <v>100</v>
      </c>
      <c r="D130" s="464">
        <v>100</v>
      </c>
      <c r="E130" s="471">
        <f>+D130/P130*(CALC!$A$4)</f>
        <v>783.33333333333337</v>
      </c>
      <c r="F130" s="466"/>
      <c r="G130" s="28">
        <f>CALC!$A$23*(CEM!I130/CEM!I$148)</f>
        <v>0</v>
      </c>
      <c r="H130" s="466">
        <f>8000*(1+CALC!$A$2)</f>
        <v>6200</v>
      </c>
      <c r="I130" s="466">
        <v>0</v>
      </c>
      <c r="J130" s="466"/>
      <c r="K130" s="466">
        <v>468</v>
      </c>
      <c r="L130" s="466">
        <v>0</v>
      </c>
      <c r="M130" s="466">
        <f>SUM(E130:L130)</f>
        <v>7451.333333333333</v>
      </c>
      <c r="N130" s="467">
        <f>M130/CALC!$A$8*CALC!$A$6</f>
        <v>120.82328049182743</v>
      </c>
      <c r="O130" s="466">
        <f>+M130+N130</f>
        <v>7572.1566138251601</v>
      </c>
      <c r="P130" s="468">
        <v>3</v>
      </c>
      <c r="Q130" s="469"/>
    </row>
    <row r="131" spans="1:20" s="7" customFormat="1" x14ac:dyDescent="0.25">
      <c r="B131" s="3" t="s">
        <v>14</v>
      </c>
      <c r="C131" s="18"/>
      <c r="D131" s="12">
        <f t="shared" ref="D131:I131" si="26">SUM(D130:D130)</f>
        <v>100</v>
      </c>
      <c r="E131" s="10">
        <f t="shared" si="26"/>
        <v>783.33333333333337</v>
      </c>
      <c r="F131" s="10">
        <f t="shared" si="26"/>
        <v>0</v>
      </c>
      <c r="G131" s="10">
        <f t="shared" si="26"/>
        <v>0</v>
      </c>
      <c r="H131" s="10">
        <f t="shared" si="26"/>
        <v>6200</v>
      </c>
      <c r="I131" s="10">
        <f t="shared" si="26"/>
        <v>0</v>
      </c>
      <c r="J131" s="10"/>
      <c r="K131" s="10">
        <f>SUM(K130:K130)</f>
        <v>468</v>
      </c>
      <c r="L131" s="10">
        <f>SUM(L130:L130)</f>
        <v>0</v>
      </c>
      <c r="M131" s="10">
        <f>SUM(M130:M130)</f>
        <v>7451.333333333333</v>
      </c>
      <c r="N131" s="10">
        <f>M131/CALC!$A$8*CALC!$A$6</f>
        <v>120.82328049182743</v>
      </c>
      <c r="O131" s="10">
        <f>+M131+N131</f>
        <v>7572.1566138251601</v>
      </c>
      <c r="P131" s="25"/>
      <c r="Q131" s="111">
        <f>(+O131/D131)*(1+CALC!$A$3)</f>
        <v>75.721566138251603</v>
      </c>
    </row>
    <row r="132" spans="1:20" s="7" customFormat="1" ht="11" thickBot="1" x14ac:dyDescent="0.3">
      <c r="C132" s="29"/>
      <c r="D132" s="30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27"/>
    </row>
    <row r="133" spans="1:20" s="7" customFormat="1" ht="11" thickBot="1" x14ac:dyDescent="0.3">
      <c r="A133" s="32" t="s">
        <v>40</v>
      </c>
      <c r="B133" s="58" t="s">
        <v>14</v>
      </c>
      <c r="C133" s="59"/>
      <c r="D133" s="60">
        <f>+D9+D22+D29+D131</f>
        <v>68100</v>
      </c>
      <c r="E133" s="248">
        <f>+E9+E22+E29+E131</f>
        <v>306278.30013564648</v>
      </c>
      <c r="F133" s="248">
        <f>+F9+F22+F29+F131</f>
        <v>93600</v>
      </c>
      <c r="G133" s="248">
        <f>+G9+G22+G29+G131</f>
        <v>11605.597237933036</v>
      </c>
      <c r="H133" s="248">
        <f>+H9+H22+H29+H131</f>
        <v>156200</v>
      </c>
      <c r="I133" s="248">
        <f>+I9+I22+I29+I131</f>
        <v>82090.94</v>
      </c>
      <c r="J133" s="248">
        <f>+J9+J22+J29+J131</f>
        <v>0</v>
      </c>
      <c r="K133" s="248">
        <f>+K9+K22+K29+K131</f>
        <v>5129.88</v>
      </c>
      <c r="L133" s="248">
        <f>+L9+L22+L29+L131</f>
        <v>0</v>
      </c>
      <c r="M133" s="248">
        <f>+M9+M22+M29+M131</f>
        <v>654904.71737357951</v>
      </c>
      <c r="N133" s="248">
        <f>+N9+N22+N29+N131</f>
        <v>10619.272125254849</v>
      </c>
      <c r="O133" s="248">
        <f>+O9+O22+O29+O131</f>
        <v>665523.98949883436</v>
      </c>
      <c r="P133" s="16"/>
      <c r="Q133" s="248">
        <f>+Q9+Q22+Q29+Q131</f>
        <v>82.455030691567742</v>
      </c>
    </row>
    <row r="134" spans="1:20" ht="11" thickBot="1" x14ac:dyDescent="0.3">
      <c r="Q134" s="16"/>
    </row>
    <row r="135" spans="1:20" s="7" customFormat="1" ht="11" thickBot="1" x14ac:dyDescent="0.3">
      <c r="A135" s="7" t="s">
        <v>21</v>
      </c>
      <c r="B135" s="58" t="s">
        <v>14</v>
      </c>
      <c r="C135" s="59"/>
      <c r="D135" s="60">
        <f t="shared" ref="D135:N135" si="27">+D126+D133</f>
        <v>376735</v>
      </c>
      <c r="E135" s="248">
        <f t="shared" si="27"/>
        <v>5019250.5704876818</v>
      </c>
      <c r="F135" s="248">
        <f t="shared" si="27"/>
        <v>734400</v>
      </c>
      <c r="G135" s="248">
        <f t="shared" si="27"/>
        <v>278048.74808982346</v>
      </c>
      <c r="H135" s="248">
        <f t="shared" si="27"/>
        <v>4443802.5</v>
      </c>
      <c r="I135" s="248">
        <f t="shared" si="27"/>
        <v>1966747.8224999998</v>
      </c>
      <c r="J135" s="248">
        <f t="shared" si="27"/>
        <v>0</v>
      </c>
      <c r="K135" s="248">
        <f t="shared" si="27"/>
        <v>121978.44000000002</v>
      </c>
      <c r="L135" s="248">
        <f t="shared" si="27"/>
        <v>0</v>
      </c>
      <c r="M135" s="248">
        <f t="shared" si="27"/>
        <v>11316828.081077505</v>
      </c>
      <c r="N135" s="248">
        <f t="shared" si="27"/>
        <v>183502.23139274621</v>
      </c>
      <c r="O135" s="248">
        <f>+M135+N135</f>
        <v>11500330.312470252</v>
      </c>
      <c r="P135" s="16"/>
      <c r="Q135" s="16"/>
    </row>
    <row r="136" spans="1:20" x14ac:dyDescent="0.25">
      <c r="Q136" s="16"/>
    </row>
    <row r="137" spans="1:20" x14ac:dyDescent="0.25">
      <c r="D137" s="67"/>
      <c r="E137" s="457" t="s">
        <v>77</v>
      </c>
      <c r="F137" s="457"/>
      <c r="G137" s="457" t="s">
        <v>78</v>
      </c>
      <c r="H137" s="457" t="s">
        <v>79</v>
      </c>
      <c r="I137" s="457" t="s">
        <v>80</v>
      </c>
      <c r="J137" s="457" t="s">
        <v>83</v>
      </c>
      <c r="K137" s="457" t="s">
        <v>81</v>
      </c>
      <c r="L137" s="457" t="s">
        <v>1440</v>
      </c>
      <c r="M137" s="457"/>
      <c r="N137" s="457" t="s">
        <v>82</v>
      </c>
      <c r="O137" s="457" t="s">
        <v>1448</v>
      </c>
      <c r="P137" s="17"/>
      <c r="Q137" s="34"/>
    </row>
    <row r="138" spans="1:20" x14ac:dyDescent="0.25">
      <c r="A138" s="70" t="s">
        <v>18</v>
      </c>
      <c r="B138" s="69"/>
      <c r="C138" s="71"/>
      <c r="D138" s="65" t="s">
        <v>3</v>
      </c>
      <c r="E138" s="3" t="s">
        <v>4</v>
      </c>
      <c r="F138" s="3" t="str">
        <f>+F3</f>
        <v>TRACKING DEVICE</v>
      </c>
      <c r="G138" s="3" t="s">
        <v>5</v>
      </c>
      <c r="H138" s="3" t="s">
        <v>6</v>
      </c>
      <c r="I138" s="3" t="s">
        <v>7</v>
      </c>
      <c r="J138" s="3" t="s">
        <v>8</v>
      </c>
      <c r="K138" s="3" t="s">
        <v>9</v>
      </c>
      <c r="L138" s="3" t="str">
        <f>+L3</f>
        <v>INTEREST</v>
      </c>
      <c r="M138" s="3" t="s">
        <v>12</v>
      </c>
      <c r="N138" s="3" t="s">
        <v>13</v>
      </c>
      <c r="O138" s="3" t="s">
        <v>14</v>
      </c>
      <c r="Q138" s="16"/>
    </row>
    <row r="139" spans="1:20" x14ac:dyDescent="0.25">
      <c r="A139" s="69" t="s">
        <v>1337</v>
      </c>
      <c r="B139" s="69"/>
      <c r="C139" s="71"/>
      <c r="D139" s="68">
        <f>+mayor!D43</f>
        <v>165452</v>
      </c>
      <c r="E139" s="458">
        <f>+mayor!E43</f>
        <v>452178.03996715555</v>
      </c>
      <c r="F139" s="458">
        <f>+mayor!F43</f>
        <v>186780.00000000003</v>
      </c>
      <c r="G139" s="458">
        <f>+mayor!G43</f>
        <v>26588.80731132588</v>
      </c>
      <c r="H139" s="458">
        <f>+mayor!H43</f>
        <v>334842</v>
      </c>
      <c r="I139" s="458">
        <f>+mayor!I43</f>
        <v>172694.55</v>
      </c>
      <c r="J139" s="458">
        <f>+mayor!J43</f>
        <v>0</v>
      </c>
      <c r="K139" s="458">
        <f>+mayor!K43</f>
        <v>8999.4000000000015</v>
      </c>
      <c r="L139" s="458">
        <f>+mayor!L43</f>
        <v>0</v>
      </c>
      <c r="M139" s="458">
        <f>SUM(E139:L139)</f>
        <v>1182082.7972784813</v>
      </c>
      <c r="N139" s="458">
        <f>+mayor!N45</f>
        <v>14448.777915467126</v>
      </c>
      <c r="O139" s="458">
        <f>+M139+N139</f>
        <v>1196531.5751939483</v>
      </c>
      <c r="Q139" s="16"/>
    </row>
    <row r="140" spans="1:20" x14ac:dyDescent="0.25">
      <c r="A140" s="69" t="s">
        <v>34</v>
      </c>
      <c r="B140" s="69"/>
      <c r="C140" s="71"/>
      <c r="D140" s="68">
        <f>+income!D18</f>
        <v>120000</v>
      </c>
      <c r="E140" s="459">
        <f>+income!E16</f>
        <v>465067.46626686666</v>
      </c>
      <c r="F140" s="459">
        <f>+income!F16</f>
        <v>51480.000000000007</v>
      </c>
      <c r="G140" s="459">
        <f>+income!G16</f>
        <v>3157.3564189440494</v>
      </c>
      <c r="H140" s="459">
        <f>+income!H16</f>
        <v>70000</v>
      </c>
      <c r="I140" s="459">
        <f>+income!I16</f>
        <v>11166.61</v>
      </c>
      <c r="J140" s="459">
        <f>+income!J16</f>
        <v>0</v>
      </c>
      <c r="K140" s="459">
        <f>+income!K16</f>
        <v>1437.3600000000001</v>
      </c>
      <c r="L140" s="459">
        <f>+income!L16</f>
        <v>0</v>
      </c>
      <c r="M140" s="458">
        <f t="shared" ref="M140:M146" si="28">SUM(E140:L140)</f>
        <v>602308.79268581071</v>
      </c>
      <c r="N140" s="459">
        <f>+income!N15</f>
        <v>9947.4962852569333</v>
      </c>
      <c r="O140" s="458">
        <f t="shared" ref="O140:O146" si="29">+M140+N140</f>
        <v>612256.28897106764</v>
      </c>
      <c r="Q140" s="16"/>
    </row>
    <row r="141" spans="1:20" x14ac:dyDescent="0.25">
      <c r="A141" s="69" t="s">
        <v>35</v>
      </c>
      <c r="B141" s="69"/>
      <c r="C141" s="71"/>
      <c r="D141" s="68">
        <f>+workshop!D22</f>
        <v>31300</v>
      </c>
      <c r="E141" s="459">
        <f>+workshop!E19</f>
        <v>118010.37774260079</v>
      </c>
      <c r="F141" s="459">
        <f>+workshop!F19</f>
        <v>32400</v>
      </c>
      <c r="G141" s="459">
        <f>+workshop!G19</f>
        <v>9584.644664356947</v>
      </c>
      <c r="H141" s="459">
        <f>+workshop!H19</f>
        <v>145000</v>
      </c>
      <c r="I141" s="459">
        <f>+workshop!I19</f>
        <v>67795.950000000012</v>
      </c>
      <c r="J141" s="459">
        <f>+workshop!J19</f>
        <v>0</v>
      </c>
      <c r="K141" s="459">
        <f>+workshop!K19</f>
        <v>2874.7200000000003</v>
      </c>
      <c r="L141" s="459">
        <f>+workshop!L19</f>
        <v>0</v>
      </c>
      <c r="M141" s="458">
        <f t="shared" si="28"/>
        <v>375665.69240695774</v>
      </c>
      <c r="N141" s="459">
        <f>+workshop!N19</f>
        <v>6091.4146897435467</v>
      </c>
      <c r="O141" s="458">
        <f t="shared" si="29"/>
        <v>381757.10709670128</v>
      </c>
      <c r="Q141" s="16"/>
    </row>
    <row r="142" spans="1:20" x14ac:dyDescent="0.25">
      <c r="A142" s="69" t="s">
        <v>30</v>
      </c>
      <c r="B142" s="69"/>
      <c r="C142" s="71"/>
      <c r="D142" s="68">
        <f>+'COMMUNITY SERV'!D108</f>
        <v>904400</v>
      </c>
      <c r="E142" s="459">
        <f>+'COMMUNITY SERV'!E108</f>
        <v>6372914.8129714308</v>
      </c>
      <c r="F142" s="459">
        <f>+'COMMUNITY SERV'!F108</f>
        <v>649800</v>
      </c>
      <c r="G142" s="459">
        <f>+'COMMUNITY SERV'!G108</f>
        <v>116935.80201386259</v>
      </c>
      <c r="H142" s="459">
        <f>+'COMMUNITY SERV'!H108</f>
        <v>1482928.15</v>
      </c>
      <c r="I142" s="459">
        <f>+'COMMUNITY SERV'!I108</f>
        <v>827132.7799999998</v>
      </c>
      <c r="J142" s="459">
        <f>+'COMMUNITY SERV'!J108</f>
        <v>0</v>
      </c>
      <c r="K142" s="459">
        <f>+'COMMUNITY SERV'!K108</f>
        <v>249435.59999999998</v>
      </c>
      <c r="L142" s="459">
        <f>+'COMMUNITY SERV'!L108</f>
        <v>0</v>
      </c>
      <c r="M142" s="458">
        <f t="shared" si="28"/>
        <v>9699147.1449852921</v>
      </c>
      <c r="N142" s="459">
        <f>+'COMMUNITY SERV'!N105</f>
        <v>140453.63489539328</v>
      </c>
      <c r="O142" s="458">
        <f t="shared" si="29"/>
        <v>9839600.7798806857</v>
      </c>
      <c r="Q142" s="16"/>
    </row>
    <row r="143" spans="1:20" hidden="1" x14ac:dyDescent="0.25">
      <c r="A143" s="69" t="s">
        <v>189</v>
      </c>
      <c r="B143" s="69"/>
      <c r="C143" s="71"/>
      <c r="D143" s="68"/>
      <c r="E143" s="459"/>
      <c r="F143" s="459"/>
      <c r="G143" s="459"/>
      <c r="H143" s="459"/>
      <c r="I143" s="459"/>
      <c r="J143" s="459"/>
      <c r="K143" s="459"/>
      <c r="L143" s="459"/>
      <c r="M143" s="458">
        <f t="shared" si="28"/>
        <v>0</v>
      </c>
      <c r="N143" s="459"/>
      <c r="O143" s="458">
        <f t="shared" si="29"/>
        <v>0</v>
      </c>
      <c r="Q143" s="16"/>
    </row>
    <row r="144" spans="1:20" x14ac:dyDescent="0.25">
      <c r="A144" s="69" t="s">
        <v>20</v>
      </c>
      <c r="B144" s="69"/>
      <c r="C144" s="71"/>
      <c r="D144" s="68">
        <f>+EEM!D110</f>
        <v>657035</v>
      </c>
      <c r="E144" s="459">
        <f>+EEM!E110</f>
        <v>4867373.572891349</v>
      </c>
      <c r="F144" s="459">
        <f>EEM!F107</f>
        <v>731400</v>
      </c>
      <c r="G144" s="459">
        <f>+EEM!G110</f>
        <v>151487.19065523043</v>
      </c>
      <c r="H144" s="459">
        <f>+EEM!H110</f>
        <v>1508275</v>
      </c>
      <c r="I144" s="459">
        <f>+EEM!I110</f>
        <v>1071528.3</v>
      </c>
      <c r="J144" s="459">
        <f>+EEM!J110</f>
        <v>4000000</v>
      </c>
      <c r="K144" s="459">
        <f>+EEM!K110</f>
        <v>123187.24</v>
      </c>
      <c r="L144" s="459">
        <f>+EEM!L110</f>
        <v>0</v>
      </c>
      <c r="M144" s="458">
        <f t="shared" si="28"/>
        <v>12453251.30354658</v>
      </c>
      <c r="N144" s="459">
        <f>+EEM!N107</f>
        <v>201929.32029394613</v>
      </c>
      <c r="O144" s="458">
        <f t="shared" si="29"/>
        <v>12655180.623840526</v>
      </c>
      <c r="Q144" s="16"/>
      <c r="S144" s="2">
        <f>EEM!O107</f>
        <v>12655180.623840526</v>
      </c>
      <c r="T144" s="20">
        <f>O144-S144</f>
        <v>0</v>
      </c>
    </row>
    <row r="145" spans="1:22" x14ac:dyDescent="0.25">
      <c r="A145" s="69" t="s">
        <v>21</v>
      </c>
      <c r="B145" s="69"/>
      <c r="C145" s="71"/>
      <c r="D145" s="68">
        <f>+D153</f>
        <v>376735</v>
      </c>
      <c r="E145" s="459">
        <f>+E153</f>
        <v>5019250.5704876808</v>
      </c>
      <c r="F145" s="459">
        <f t="shared" ref="F145:L145" si="30">+F153</f>
        <v>734400</v>
      </c>
      <c r="G145" s="459">
        <f t="shared" si="30"/>
        <v>275441.17464319681</v>
      </c>
      <c r="H145" s="459">
        <f>H135</f>
        <v>4443802.5</v>
      </c>
      <c r="I145" s="459">
        <f t="shared" si="30"/>
        <v>1966747.8224999998</v>
      </c>
      <c r="J145" s="459">
        <f t="shared" si="30"/>
        <v>0</v>
      </c>
      <c r="K145" s="459">
        <f t="shared" si="30"/>
        <v>121978.44000000002</v>
      </c>
      <c r="L145" s="459">
        <f t="shared" si="30"/>
        <v>0</v>
      </c>
      <c r="M145" s="458">
        <f t="shared" si="28"/>
        <v>12561620.507630877</v>
      </c>
      <c r="N145" s="459">
        <f t="shared" ref="N145" si="31">+N135</f>
        <v>183502.23139274621</v>
      </c>
      <c r="O145" s="458">
        <f t="shared" si="29"/>
        <v>12745122.739023624</v>
      </c>
      <c r="Q145" s="16"/>
    </row>
    <row r="146" spans="1:22" x14ac:dyDescent="0.25">
      <c r="A146" s="69" t="s">
        <v>22</v>
      </c>
      <c r="B146" s="69"/>
      <c r="C146" s="71"/>
      <c r="D146" s="68">
        <f>+MDC!D102</f>
        <v>451300</v>
      </c>
      <c r="E146" s="459">
        <f>+MDC!E102</f>
        <v>22574936.252123371</v>
      </c>
      <c r="F146" s="459">
        <f>+MDC!F102</f>
        <v>450600</v>
      </c>
      <c r="G146" s="459">
        <f>+MDC!G102</f>
        <v>76394.195170470994</v>
      </c>
      <c r="H146" s="459">
        <f>+MDC!H102</f>
        <v>1076250</v>
      </c>
      <c r="I146" s="459">
        <f>+MDC!I102</f>
        <v>550311.77499999991</v>
      </c>
      <c r="J146" s="459">
        <f>+MDC!J102</f>
        <v>0</v>
      </c>
      <c r="K146" s="459">
        <f>+MDC!K102</f>
        <v>68769.240000000005</v>
      </c>
      <c r="L146" s="459">
        <f>+MDC!L102</f>
        <v>0</v>
      </c>
      <c r="M146" s="458">
        <f t="shared" si="28"/>
        <v>24797261.462293837</v>
      </c>
      <c r="N146" s="459">
        <f>+MDC!N96</f>
        <v>94804.373722622113</v>
      </c>
      <c r="O146" s="458">
        <f t="shared" si="29"/>
        <v>24892065.836016458</v>
      </c>
      <c r="Q146" s="247"/>
    </row>
    <row r="147" spans="1:22" x14ac:dyDescent="0.25">
      <c r="A147" s="69"/>
      <c r="B147" s="69"/>
      <c r="C147" s="71"/>
      <c r="D147" s="6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Q147" s="16"/>
    </row>
    <row r="148" spans="1:22" s="7" customFormat="1" x14ac:dyDescent="0.25">
      <c r="A148" s="63" t="s">
        <v>23</v>
      </c>
      <c r="B148" s="63"/>
      <c r="C148" s="64"/>
      <c r="D148" s="65">
        <f>SUM(D139:D147)</f>
        <v>2706222</v>
      </c>
      <c r="E148" s="460">
        <f t="shared" ref="E148:L148" si="32">SUM(E139:E147)</f>
        <v>39869731.092450455</v>
      </c>
      <c r="F148" s="460">
        <f>SUM(F139:F147)</f>
        <v>2836860</v>
      </c>
      <c r="G148" s="460">
        <f t="shared" si="32"/>
        <v>659589.17087738775</v>
      </c>
      <c r="H148" s="460">
        <f t="shared" si="32"/>
        <v>9061097.6500000004</v>
      </c>
      <c r="I148" s="460">
        <f t="shared" si="32"/>
        <v>4667377.7874999996</v>
      </c>
      <c r="J148" s="460">
        <f t="shared" si="32"/>
        <v>4000000</v>
      </c>
      <c r="K148" s="460">
        <f t="shared" si="32"/>
        <v>576682</v>
      </c>
      <c r="L148" s="460">
        <f t="shared" si="32"/>
        <v>0</v>
      </c>
      <c r="M148" s="460">
        <f>SUM(M139:M147)</f>
        <v>61671337.700827837</v>
      </c>
      <c r="N148" s="460">
        <f>SUM(N139:N147)</f>
        <v>651177.24919517525</v>
      </c>
      <c r="O148" s="460">
        <f>SUM(O139:O147)</f>
        <v>62322514.95002301</v>
      </c>
      <c r="P148" s="35"/>
      <c r="Q148" s="26"/>
    </row>
    <row r="149" spans="1:22" s="11" customFormat="1" x14ac:dyDescent="0.25">
      <c r="C149" s="21"/>
      <c r="D149" s="21"/>
      <c r="Q149" s="16"/>
    </row>
    <row r="150" spans="1:22" s="35" customFormat="1" x14ac:dyDescent="0.25">
      <c r="C150" s="81"/>
      <c r="D150" s="81"/>
      <c r="M150" s="88">
        <f>12465019.09*1.06</f>
        <v>13212920.235400001</v>
      </c>
      <c r="O150" s="35">
        <f>+N148+M150</f>
        <v>13864097.484595176</v>
      </c>
      <c r="Q150" s="26"/>
      <c r="S150" s="35">
        <v>20913644.23</v>
      </c>
      <c r="T150" s="35">
        <f>S150*1.06</f>
        <v>22168462.8838</v>
      </c>
      <c r="U150" s="35">
        <f>SUM(O139:O145)</f>
        <v>37430449.114006557</v>
      </c>
      <c r="V150" s="35">
        <f>U150-T150</f>
        <v>15261986.230206557</v>
      </c>
    </row>
    <row r="151" spans="1:22" ht="11" thickBot="1" x14ac:dyDescent="0.3">
      <c r="M151" s="11">
        <f>+M150-M148</f>
        <v>-48458417.465427838</v>
      </c>
      <c r="O151" s="11" t="e">
        <f>BUDGET!B76</f>
        <v>#DIV/0!</v>
      </c>
      <c r="P151" s="11" t="e">
        <f>O151-O148</f>
        <v>#DIV/0!</v>
      </c>
      <c r="Q151" s="16"/>
      <c r="S151" s="20">
        <v>3922777.91</v>
      </c>
      <c r="T151" s="35">
        <f t="shared" ref="T151:T152" si="33">S151*1.06</f>
        <v>4158144.5846000002</v>
      </c>
      <c r="U151" s="49">
        <f>SUM(O146)</f>
        <v>24892065.836016458</v>
      </c>
      <c r="V151" s="20">
        <f>U151-T151</f>
        <v>20733921.251416456</v>
      </c>
    </row>
    <row r="152" spans="1:22" ht="11" thickBot="1" x14ac:dyDescent="0.3">
      <c r="E152" s="20"/>
      <c r="H152" s="49"/>
      <c r="M152" s="358">
        <f>+O158</f>
        <v>25184155.907000002</v>
      </c>
      <c r="N152" s="46"/>
      <c r="O152" s="11">
        <f>+M152+N148</f>
        <v>25835333.156195179</v>
      </c>
      <c r="Q152" s="16"/>
      <c r="S152" s="49">
        <f>SUM(S150:S151)</f>
        <v>24836422.140000001</v>
      </c>
      <c r="T152" s="35">
        <f t="shared" si="33"/>
        <v>26326607.468400002</v>
      </c>
    </row>
    <row r="153" spans="1:22" x14ac:dyDescent="0.25">
      <c r="D153" s="13">
        <f>+D9+D16+D23+D31+D36+D41+D48+D58+D64+D70+D76+D84+D104+D114+D124+D131</f>
        <v>376735</v>
      </c>
      <c r="E153" s="13">
        <f>+E9+E16+E23+E31+E36+E41+E48+E58+E64+E70+E76+E84+E104+E114+E124+E131</f>
        <v>5019250.5704876808</v>
      </c>
      <c r="F153" s="13">
        <f>+F9+F16+F23+F31+F36+F41+F48+F58+F64+F70+F76+F84+F104+F114+F124+F131</f>
        <v>734400</v>
      </c>
      <c r="G153" s="354">
        <f>+G9+G16+G23+G31+G36+G41+G48+G58+G64+G70+G76+G84+G104+G114+G124+G131</f>
        <v>275441.17464319681</v>
      </c>
      <c r="H153" s="354">
        <f>+H9+H16+H23+H31+H36+H41+H48+H58+H64+H70+H76+H84+H104+H114+H124+H131</f>
        <v>4364302.5</v>
      </c>
      <c r="I153" s="354">
        <f>+I9+I16+I23+I31+I36+I41+I48+I58+I64+I70+I76+I84</f>
        <v>1966747.8224999998</v>
      </c>
      <c r="J153" s="13">
        <f>+J9+J16+J23+J31+J36+J41+J48+J58+J64+J70+J76+J84+J104+J114+J124+J131</f>
        <v>0</v>
      </c>
      <c r="K153" s="13">
        <f>+K9+K16+K23+K31+K36+K41+K48+K58+K64+K70+K76+K84+K104+K114+K124+K131</f>
        <v>121978.44000000002</v>
      </c>
      <c r="L153" s="13">
        <f>+L9+L16+L23+L31+L36+L41+L48+L58+L64+L70+L76+L84+L104+L114+L124+L131</f>
        <v>0</v>
      </c>
      <c r="M153" s="11"/>
      <c r="O153" s="11"/>
      <c r="Q153" s="16"/>
    </row>
    <row r="154" spans="1:22" x14ac:dyDescent="0.25">
      <c r="D154" s="13">
        <f>+D135-D153</f>
        <v>0</v>
      </c>
      <c r="E154" s="13">
        <f t="shared" ref="E154:L154" si="34">+E135-E153</f>
        <v>0</v>
      </c>
      <c r="F154" s="13">
        <f t="shared" si="34"/>
        <v>0</v>
      </c>
      <c r="G154" s="13">
        <f t="shared" si="34"/>
        <v>2607.5734466266586</v>
      </c>
      <c r="H154" s="13">
        <f t="shared" si="34"/>
        <v>79500</v>
      </c>
      <c r="I154" s="13">
        <f>+I135-I153</f>
        <v>0</v>
      </c>
      <c r="J154" s="13">
        <f t="shared" si="34"/>
        <v>0</v>
      </c>
      <c r="K154" s="13">
        <f t="shared" si="34"/>
        <v>0</v>
      </c>
      <c r="L154" s="13">
        <f t="shared" si="34"/>
        <v>0</v>
      </c>
      <c r="M154" s="11">
        <f>+M152-M148</f>
        <v>-36487181.793827832</v>
      </c>
      <c r="O154" s="11"/>
      <c r="Q154" s="16"/>
    </row>
    <row r="155" spans="1:22" x14ac:dyDescent="0.25">
      <c r="I155" s="49">
        <f>-I58</f>
        <v>-807205.61249999993</v>
      </c>
      <c r="M155" s="11"/>
      <c r="O155" s="11">
        <v>23984910.34</v>
      </c>
      <c r="Q155" s="16"/>
    </row>
    <row r="156" spans="1:22" x14ac:dyDescent="0.25">
      <c r="M156" s="11">
        <f>23297994.53*5%</f>
        <v>1164899.7265000001</v>
      </c>
      <c r="O156" s="11">
        <v>0.05</v>
      </c>
      <c r="Q156" s="16"/>
    </row>
    <row r="157" spans="1:22" x14ac:dyDescent="0.25">
      <c r="M157" s="11"/>
      <c r="O157" s="11">
        <f>+O155*O156</f>
        <v>1199245.517</v>
      </c>
      <c r="Q157" s="16"/>
    </row>
    <row r="158" spans="1:22" x14ac:dyDescent="0.25">
      <c r="I158" s="11"/>
      <c r="M158" s="11"/>
      <c r="O158" s="11">
        <f>SUM(O155:O157)</f>
        <v>25184155.907000002</v>
      </c>
      <c r="Q158" s="16"/>
    </row>
    <row r="159" spans="1:22" x14ac:dyDescent="0.25">
      <c r="I159" s="11"/>
      <c r="M159" s="11">
        <f>+M148-M157</f>
        <v>61671337.700827837</v>
      </c>
      <c r="O159" s="11">
        <v>303610</v>
      </c>
      <c r="Q159" s="16"/>
    </row>
    <row r="160" spans="1:22" x14ac:dyDescent="0.25">
      <c r="I160" s="11"/>
      <c r="M160" s="11"/>
      <c r="O160" s="11">
        <v>0.05</v>
      </c>
      <c r="Q160" s="16"/>
    </row>
    <row r="161" spans="5:17" x14ac:dyDescent="0.25">
      <c r="I161" s="11"/>
      <c r="O161" s="11">
        <f>+O159*O160</f>
        <v>15180.5</v>
      </c>
      <c r="Q161" s="16"/>
    </row>
    <row r="162" spans="5:17" x14ac:dyDescent="0.25">
      <c r="E162" s="11"/>
      <c r="I162" s="11"/>
      <c r="O162" s="11">
        <f>SUM(O159:O161)</f>
        <v>318790.55</v>
      </c>
      <c r="Q162" s="16"/>
    </row>
    <row r="163" spans="5:17" x14ac:dyDescent="0.25">
      <c r="E163" s="11"/>
      <c r="Q163" s="16"/>
    </row>
    <row r="164" spans="5:17" x14ac:dyDescent="0.25">
      <c r="E164" s="11"/>
      <c r="Q164" s="16"/>
    </row>
    <row r="165" spans="5:17" x14ac:dyDescent="0.25">
      <c r="Q165" s="16"/>
    </row>
    <row r="166" spans="5:17" x14ac:dyDescent="0.25">
      <c r="Q166" s="16"/>
    </row>
    <row r="167" spans="5:17" x14ac:dyDescent="0.25">
      <c r="Q167" s="16"/>
    </row>
    <row r="168" spans="5:17" x14ac:dyDescent="0.25">
      <c r="H168" s="2">
        <v>1560656</v>
      </c>
      <c r="Q168" s="16"/>
    </row>
    <row r="169" spans="5:17" x14ac:dyDescent="0.25">
      <c r="H169" s="2">
        <f>+H168*4.5%</f>
        <v>70229.52</v>
      </c>
      <c r="Q169" s="16"/>
    </row>
    <row r="170" spans="5:17" x14ac:dyDescent="0.25">
      <c r="Q170" s="16"/>
    </row>
    <row r="171" spans="5:17" x14ac:dyDescent="0.25">
      <c r="Q171" s="16"/>
    </row>
    <row r="172" spans="5:17" x14ac:dyDescent="0.25">
      <c r="Q172" s="16"/>
    </row>
    <row r="173" spans="5:17" x14ac:dyDescent="0.25">
      <c r="Q173" s="16"/>
    </row>
    <row r="174" spans="5:17" x14ac:dyDescent="0.25">
      <c r="Q174" s="16"/>
    </row>
    <row r="175" spans="5:17" x14ac:dyDescent="0.25">
      <c r="Q175" s="16"/>
    </row>
    <row r="176" spans="5:17" x14ac:dyDescent="0.25">
      <c r="Q176" s="16"/>
    </row>
    <row r="177" spans="17:17" x14ac:dyDescent="0.25">
      <c r="Q177" s="16"/>
    </row>
    <row r="178" spans="17:17" x14ac:dyDescent="0.25">
      <c r="Q178" s="16"/>
    </row>
    <row r="179" spans="17:17" x14ac:dyDescent="0.25">
      <c r="Q179" s="16"/>
    </row>
    <row r="180" spans="17:17" x14ac:dyDescent="0.25">
      <c r="Q180" s="16"/>
    </row>
    <row r="181" spans="17:17" x14ac:dyDescent="0.25">
      <c r="Q181" s="16"/>
    </row>
    <row r="182" spans="17:17" x14ac:dyDescent="0.25">
      <c r="Q182" s="16"/>
    </row>
    <row r="183" spans="17:17" x14ac:dyDescent="0.25">
      <c r="Q183" s="16"/>
    </row>
    <row r="184" spans="17:17" x14ac:dyDescent="0.25">
      <c r="Q184" s="16"/>
    </row>
    <row r="185" spans="17:17" x14ac:dyDescent="0.25">
      <c r="Q185" s="16"/>
    </row>
    <row r="186" spans="17:17" x14ac:dyDescent="0.25">
      <c r="Q186" s="16"/>
    </row>
    <row r="187" spans="17:17" x14ac:dyDescent="0.25">
      <c r="Q187" s="16"/>
    </row>
    <row r="188" spans="17:17" x14ac:dyDescent="0.25">
      <c r="Q188" s="16"/>
    </row>
    <row r="189" spans="17:17" x14ac:dyDescent="0.25">
      <c r="Q189" s="16"/>
    </row>
    <row r="190" spans="17:17" x14ac:dyDescent="0.25">
      <c r="Q190" s="16"/>
    </row>
    <row r="191" spans="17:17" x14ac:dyDescent="0.25">
      <c r="Q191" s="16"/>
    </row>
    <row r="192" spans="17:17" x14ac:dyDescent="0.25">
      <c r="Q192" s="16"/>
    </row>
    <row r="193" spans="17:17" x14ac:dyDescent="0.25">
      <c r="Q193" s="16"/>
    </row>
    <row r="194" spans="17:17" x14ac:dyDescent="0.25">
      <c r="Q194" s="16"/>
    </row>
    <row r="195" spans="17:17" x14ac:dyDescent="0.25">
      <c r="Q195" s="16"/>
    </row>
    <row r="196" spans="17:17" x14ac:dyDescent="0.25">
      <c r="Q196" s="16"/>
    </row>
    <row r="197" spans="17:17" x14ac:dyDescent="0.25">
      <c r="Q197" s="16"/>
    </row>
    <row r="198" spans="17:17" x14ac:dyDescent="0.25">
      <c r="Q198" s="16"/>
    </row>
    <row r="199" spans="17:17" x14ac:dyDescent="0.25">
      <c r="Q199" s="16"/>
    </row>
    <row r="200" spans="17:17" x14ac:dyDescent="0.25">
      <c r="Q200" s="16"/>
    </row>
    <row r="201" spans="17:17" x14ac:dyDescent="0.25">
      <c r="Q201" s="16"/>
    </row>
    <row r="202" spans="17:17" x14ac:dyDescent="0.25">
      <c r="Q202" s="16"/>
    </row>
    <row r="203" spans="17:17" x14ac:dyDescent="0.25">
      <c r="Q203" s="16"/>
    </row>
    <row r="204" spans="17:17" x14ac:dyDescent="0.25">
      <c r="Q204" s="16"/>
    </row>
    <row r="205" spans="17:17" x14ac:dyDescent="0.25">
      <c r="Q205" s="16"/>
    </row>
    <row r="206" spans="17:17" x14ac:dyDescent="0.25">
      <c r="Q206" s="16"/>
    </row>
    <row r="207" spans="17:17" x14ac:dyDescent="0.25">
      <c r="Q207" s="16"/>
    </row>
    <row r="208" spans="17:17" x14ac:dyDescent="0.25">
      <c r="Q208" s="16"/>
    </row>
    <row r="209" spans="17:17" x14ac:dyDescent="0.25">
      <c r="Q209" s="16"/>
    </row>
    <row r="210" spans="17:17" x14ac:dyDescent="0.25">
      <c r="Q210" s="16"/>
    </row>
    <row r="211" spans="17:17" x14ac:dyDescent="0.25">
      <c r="Q211" s="16"/>
    </row>
    <row r="212" spans="17:17" x14ac:dyDescent="0.25">
      <c r="Q212" s="16"/>
    </row>
    <row r="213" spans="17:17" x14ac:dyDescent="0.25">
      <c r="Q213" s="16"/>
    </row>
    <row r="214" spans="17:17" x14ac:dyDescent="0.25">
      <c r="Q214" s="16"/>
    </row>
    <row r="215" spans="17:17" x14ac:dyDescent="0.25">
      <c r="Q215" s="16"/>
    </row>
    <row r="216" spans="17:17" x14ac:dyDescent="0.25">
      <c r="Q216" s="16"/>
    </row>
    <row r="217" spans="17:17" x14ac:dyDescent="0.25">
      <c r="Q217" s="16"/>
    </row>
    <row r="218" spans="17:17" x14ac:dyDescent="0.25">
      <c r="Q218" s="16"/>
    </row>
    <row r="219" spans="17:17" x14ac:dyDescent="0.25">
      <c r="Q219" s="16"/>
    </row>
    <row r="220" spans="17:17" x14ac:dyDescent="0.25">
      <c r="Q220" s="16"/>
    </row>
    <row r="221" spans="17:17" x14ac:dyDescent="0.25">
      <c r="Q221" s="16"/>
    </row>
    <row r="222" spans="17:17" x14ac:dyDescent="0.25">
      <c r="Q222" s="16"/>
    </row>
    <row r="223" spans="17:17" x14ac:dyDescent="0.25">
      <c r="Q223" s="16"/>
    </row>
    <row r="224" spans="17:17" x14ac:dyDescent="0.25">
      <c r="Q224" s="16"/>
    </row>
    <row r="225" spans="17:17" x14ac:dyDescent="0.25">
      <c r="Q225" s="16"/>
    </row>
    <row r="226" spans="17:17" x14ac:dyDescent="0.25">
      <c r="Q226" s="16"/>
    </row>
    <row r="227" spans="17:17" x14ac:dyDescent="0.25">
      <c r="Q227" s="16"/>
    </row>
    <row r="228" spans="17:17" x14ac:dyDescent="0.25">
      <c r="Q228" s="16"/>
    </row>
    <row r="229" spans="17:17" x14ac:dyDescent="0.25">
      <c r="Q229" s="16"/>
    </row>
    <row r="230" spans="17:17" x14ac:dyDescent="0.25">
      <c r="Q230" s="16"/>
    </row>
    <row r="231" spans="17:17" x14ac:dyDescent="0.25">
      <c r="Q231" s="16"/>
    </row>
    <row r="232" spans="17:17" x14ac:dyDescent="0.25">
      <c r="Q232" s="16"/>
    </row>
    <row r="233" spans="17:17" x14ac:dyDescent="0.25">
      <c r="Q233" s="16"/>
    </row>
    <row r="234" spans="17:17" x14ac:dyDescent="0.25">
      <c r="Q234" s="16"/>
    </row>
    <row r="235" spans="17:17" x14ac:dyDescent="0.25">
      <c r="Q235" s="16"/>
    </row>
    <row r="236" spans="17:17" x14ac:dyDescent="0.25">
      <c r="Q236" s="16"/>
    </row>
    <row r="237" spans="17:17" x14ac:dyDescent="0.25">
      <c r="Q237" s="16"/>
    </row>
    <row r="238" spans="17:17" x14ac:dyDescent="0.25">
      <c r="Q238" s="16"/>
    </row>
    <row r="239" spans="17:17" x14ac:dyDescent="0.25">
      <c r="Q239" s="16"/>
    </row>
    <row r="240" spans="17:17" x14ac:dyDescent="0.25">
      <c r="Q240" s="16"/>
    </row>
    <row r="241" spans="17:17" x14ac:dyDescent="0.25">
      <c r="Q241" s="16"/>
    </row>
    <row r="242" spans="17:17" x14ac:dyDescent="0.25">
      <c r="Q242" s="16"/>
    </row>
    <row r="243" spans="17:17" x14ac:dyDescent="0.25">
      <c r="Q243" s="16"/>
    </row>
    <row r="244" spans="17:17" x14ac:dyDescent="0.25">
      <c r="Q244" s="16"/>
    </row>
    <row r="245" spans="17:17" x14ac:dyDescent="0.25">
      <c r="Q245" s="16"/>
    </row>
    <row r="246" spans="17:17" x14ac:dyDescent="0.25">
      <c r="Q246" s="16"/>
    </row>
    <row r="247" spans="17:17" x14ac:dyDescent="0.25">
      <c r="Q247" s="16"/>
    </row>
    <row r="248" spans="17:17" x14ac:dyDescent="0.25">
      <c r="Q248" s="16"/>
    </row>
    <row r="249" spans="17:17" x14ac:dyDescent="0.25">
      <c r="Q249" s="16"/>
    </row>
    <row r="250" spans="17:17" x14ac:dyDescent="0.25">
      <c r="Q250" s="16"/>
    </row>
    <row r="251" spans="17:17" x14ac:dyDescent="0.25">
      <c r="Q251" s="16"/>
    </row>
    <row r="252" spans="17:17" x14ac:dyDescent="0.25">
      <c r="Q252" s="16"/>
    </row>
    <row r="253" spans="17:17" x14ac:dyDescent="0.25">
      <c r="Q253" s="16"/>
    </row>
    <row r="254" spans="17:17" x14ac:dyDescent="0.25">
      <c r="Q254" s="16"/>
    </row>
    <row r="255" spans="17:17" x14ac:dyDescent="0.25">
      <c r="Q255" s="16"/>
    </row>
    <row r="256" spans="17:17" x14ac:dyDescent="0.25">
      <c r="Q256" s="16"/>
    </row>
    <row r="257" spans="17:17" x14ac:dyDescent="0.25">
      <c r="Q257" s="16"/>
    </row>
    <row r="258" spans="17:17" x14ac:dyDescent="0.25">
      <c r="Q258" s="16"/>
    </row>
    <row r="259" spans="17:17" x14ac:dyDescent="0.25">
      <c r="Q259" s="16"/>
    </row>
    <row r="260" spans="17:17" x14ac:dyDescent="0.25">
      <c r="Q260" s="16"/>
    </row>
    <row r="261" spans="17:17" x14ac:dyDescent="0.25">
      <c r="Q261" s="16"/>
    </row>
    <row r="262" spans="17:17" x14ac:dyDescent="0.25">
      <c r="Q262" s="16"/>
    </row>
    <row r="263" spans="17:17" x14ac:dyDescent="0.25">
      <c r="Q263" s="16"/>
    </row>
    <row r="264" spans="17:17" x14ac:dyDescent="0.25">
      <c r="Q264" s="16"/>
    </row>
    <row r="265" spans="17:17" x14ac:dyDescent="0.25">
      <c r="Q265" s="16"/>
    </row>
    <row r="266" spans="17:17" x14ac:dyDescent="0.25">
      <c r="Q266" s="16"/>
    </row>
    <row r="267" spans="17:17" x14ac:dyDescent="0.25">
      <c r="Q267" s="16"/>
    </row>
    <row r="268" spans="17:17" x14ac:dyDescent="0.25">
      <c r="Q268" s="16"/>
    </row>
    <row r="269" spans="17:17" x14ac:dyDescent="0.25">
      <c r="Q269" s="16"/>
    </row>
    <row r="270" spans="17:17" x14ac:dyDescent="0.25">
      <c r="Q270" s="16"/>
    </row>
    <row r="271" spans="17:17" x14ac:dyDescent="0.25">
      <c r="Q271" s="16"/>
    </row>
    <row r="272" spans="17:17" x14ac:dyDescent="0.25">
      <c r="Q272" s="16"/>
    </row>
    <row r="273" spans="17:17" x14ac:dyDescent="0.25">
      <c r="Q273" s="16"/>
    </row>
    <row r="274" spans="17:17" x14ac:dyDescent="0.25">
      <c r="Q274" s="16"/>
    </row>
    <row r="275" spans="17:17" x14ac:dyDescent="0.25">
      <c r="Q275" s="16"/>
    </row>
    <row r="276" spans="17:17" x14ac:dyDescent="0.25">
      <c r="Q276" s="16"/>
    </row>
    <row r="277" spans="17:17" x14ac:dyDescent="0.25">
      <c r="Q277" s="16"/>
    </row>
    <row r="278" spans="17:17" x14ac:dyDescent="0.25">
      <c r="Q278" s="16"/>
    </row>
    <row r="279" spans="17:17" x14ac:dyDescent="0.25">
      <c r="Q279" s="16"/>
    </row>
    <row r="280" spans="17:17" x14ac:dyDescent="0.25">
      <c r="Q280" s="16"/>
    </row>
    <row r="281" spans="17:17" x14ac:dyDescent="0.25">
      <c r="Q281" s="16"/>
    </row>
    <row r="282" spans="17:17" x14ac:dyDescent="0.25">
      <c r="Q282" s="16"/>
    </row>
    <row r="283" spans="17:17" x14ac:dyDescent="0.25">
      <c r="Q283" s="16"/>
    </row>
    <row r="284" spans="17:17" x14ac:dyDescent="0.25">
      <c r="Q284" s="16"/>
    </row>
    <row r="285" spans="17:17" x14ac:dyDescent="0.25">
      <c r="Q285" s="16"/>
    </row>
    <row r="286" spans="17:17" x14ac:dyDescent="0.25">
      <c r="Q286" s="16"/>
    </row>
    <row r="287" spans="17:17" x14ac:dyDescent="0.25">
      <c r="Q287" s="16"/>
    </row>
    <row r="288" spans="17:17" x14ac:dyDescent="0.25">
      <c r="Q288" s="16"/>
    </row>
    <row r="289" spans="17:17" x14ac:dyDescent="0.25">
      <c r="Q289" s="16"/>
    </row>
    <row r="290" spans="17:17" x14ac:dyDescent="0.25">
      <c r="Q290" s="16"/>
    </row>
    <row r="291" spans="17:17" x14ac:dyDescent="0.25">
      <c r="Q291" s="16"/>
    </row>
    <row r="292" spans="17:17" x14ac:dyDescent="0.25">
      <c r="Q292" s="16"/>
    </row>
    <row r="293" spans="17:17" x14ac:dyDescent="0.25">
      <c r="Q293" s="16"/>
    </row>
    <row r="294" spans="17:17" x14ac:dyDescent="0.25">
      <c r="Q294" s="16"/>
    </row>
    <row r="295" spans="17:17" x14ac:dyDescent="0.25">
      <c r="Q295" s="16"/>
    </row>
    <row r="296" spans="17:17" x14ac:dyDescent="0.25">
      <c r="Q296" s="16"/>
    </row>
    <row r="297" spans="17:17" x14ac:dyDescent="0.25">
      <c r="Q297" s="16"/>
    </row>
    <row r="298" spans="17:17" x14ac:dyDescent="0.25">
      <c r="Q298" s="16"/>
    </row>
    <row r="299" spans="17:17" x14ac:dyDescent="0.25">
      <c r="Q299" s="16"/>
    </row>
    <row r="300" spans="17:17" x14ac:dyDescent="0.25">
      <c r="Q300" s="16"/>
    </row>
    <row r="301" spans="17:17" x14ac:dyDescent="0.25">
      <c r="Q301" s="16"/>
    </row>
    <row r="302" spans="17:17" x14ac:dyDescent="0.25">
      <c r="Q302" s="16"/>
    </row>
    <row r="303" spans="17:17" x14ac:dyDescent="0.25">
      <c r="Q303" s="16"/>
    </row>
    <row r="304" spans="17:17" x14ac:dyDescent="0.25">
      <c r="Q304" s="16"/>
    </row>
    <row r="305" spans="17:17" x14ac:dyDescent="0.25">
      <c r="Q305" s="16"/>
    </row>
    <row r="306" spans="17:17" x14ac:dyDescent="0.25">
      <c r="Q306" s="16"/>
    </row>
    <row r="307" spans="17:17" x14ac:dyDescent="0.25">
      <c r="Q307" s="16"/>
    </row>
    <row r="308" spans="17:17" x14ac:dyDescent="0.25">
      <c r="Q308" s="16"/>
    </row>
    <row r="309" spans="17:17" x14ac:dyDescent="0.25">
      <c r="Q309" s="16"/>
    </row>
    <row r="310" spans="17:17" x14ac:dyDescent="0.25">
      <c r="Q310" s="16"/>
    </row>
    <row r="311" spans="17:17" x14ac:dyDescent="0.25">
      <c r="Q311" s="16"/>
    </row>
    <row r="312" spans="17:17" x14ac:dyDescent="0.25">
      <c r="Q312" s="16"/>
    </row>
    <row r="313" spans="17:17" x14ac:dyDescent="0.25">
      <c r="Q313" s="16"/>
    </row>
    <row r="314" spans="17:17" x14ac:dyDescent="0.25">
      <c r="Q314" s="16"/>
    </row>
    <row r="315" spans="17:17" x14ac:dyDescent="0.25">
      <c r="Q315" s="16"/>
    </row>
    <row r="316" spans="17:17" x14ac:dyDescent="0.25">
      <c r="Q316" s="16"/>
    </row>
    <row r="317" spans="17:17" x14ac:dyDescent="0.25">
      <c r="Q317" s="16"/>
    </row>
    <row r="318" spans="17:17" x14ac:dyDescent="0.25">
      <c r="Q318" s="16"/>
    </row>
    <row r="319" spans="17:17" x14ac:dyDescent="0.25">
      <c r="Q319" s="16"/>
    </row>
    <row r="320" spans="17:17" x14ac:dyDescent="0.25">
      <c r="Q320" s="16"/>
    </row>
    <row r="321" spans="17:17" x14ac:dyDescent="0.25">
      <c r="Q321" s="16"/>
    </row>
    <row r="322" spans="17:17" x14ac:dyDescent="0.25">
      <c r="Q322" s="16"/>
    </row>
    <row r="323" spans="17:17" x14ac:dyDescent="0.25">
      <c r="Q323" s="16"/>
    </row>
    <row r="324" spans="17:17" x14ac:dyDescent="0.25">
      <c r="Q324" s="16"/>
    </row>
    <row r="325" spans="17:17" x14ac:dyDescent="0.25">
      <c r="Q325" s="16"/>
    </row>
    <row r="326" spans="17:17" x14ac:dyDescent="0.25">
      <c r="Q326" s="16"/>
    </row>
    <row r="327" spans="17:17" x14ac:dyDescent="0.25">
      <c r="Q327" s="16"/>
    </row>
    <row r="328" spans="17:17" x14ac:dyDescent="0.25">
      <c r="Q328" s="16"/>
    </row>
    <row r="329" spans="17:17" x14ac:dyDescent="0.25">
      <c r="Q329" s="16"/>
    </row>
    <row r="330" spans="17:17" x14ac:dyDescent="0.25">
      <c r="Q330" s="16"/>
    </row>
    <row r="331" spans="17:17" x14ac:dyDescent="0.25">
      <c r="Q331" s="16"/>
    </row>
    <row r="332" spans="17:17" x14ac:dyDescent="0.25">
      <c r="Q332" s="16"/>
    </row>
    <row r="333" spans="17:17" x14ac:dyDescent="0.25">
      <c r="Q333" s="16"/>
    </row>
    <row r="334" spans="17:17" x14ac:dyDescent="0.25">
      <c r="Q334" s="16"/>
    </row>
    <row r="335" spans="17:17" x14ac:dyDescent="0.25">
      <c r="Q335" s="16"/>
    </row>
    <row r="336" spans="17:17" x14ac:dyDescent="0.25">
      <c r="Q336" s="16"/>
    </row>
    <row r="337" spans="17:17" x14ac:dyDescent="0.25">
      <c r="Q337" s="16"/>
    </row>
    <row r="338" spans="17:17" x14ac:dyDescent="0.25">
      <c r="Q338" s="16"/>
    </row>
    <row r="339" spans="17:17" x14ac:dyDescent="0.25">
      <c r="Q339" s="16"/>
    </row>
    <row r="340" spans="17:17" x14ac:dyDescent="0.25">
      <c r="Q340" s="16"/>
    </row>
    <row r="341" spans="17:17" x14ac:dyDescent="0.25">
      <c r="Q341" s="16"/>
    </row>
    <row r="342" spans="17:17" x14ac:dyDescent="0.25">
      <c r="Q342" s="16"/>
    </row>
    <row r="343" spans="17:17" x14ac:dyDescent="0.25">
      <c r="Q343" s="16"/>
    </row>
    <row r="344" spans="17:17" x14ac:dyDescent="0.25">
      <c r="Q344" s="16"/>
    </row>
    <row r="345" spans="17:17" x14ac:dyDescent="0.25">
      <c r="Q345" s="16"/>
    </row>
    <row r="346" spans="17:17" x14ac:dyDescent="0.25">
      <c r="Q346" s="16"/>
    </row>
    <row r="347" spans="17:17" x14ac:dyDescent="0.25">
      <c r="Q347" s="16"/>
    </row>
    <row r="348" spans="17:17" x14ac:dyDescent="0.25">
      <c r="Q348" s="16"/>
    </row>
    <row r="349" spans="17:17" x14ac:dyDescent="0.25">
      <c r="Q349" s="16"/>
    </row>
    <row r="350" spans="17:17" x14ac:dyDescent="0.25">
      <c r="Q350" s="16"/>
    </row>
    <row r="351" spans="17:17" x14ac:dyDescent="0.25">
      <c r="Q351" s="16"/>
    </row>
    <row r="352" spans="17:17" x14ac:dyDescent="0.25">
      <c r="Q352" s="16"/>
    </row>
    <row r="353" spans="17:17" x14ac:dyDescent="0.25">
      <c r="Q353" s="16"/>
    </row>
    <row r="354" spans="17:17" x14ac:dyDescent="0.25">
      <c r="Q354" s="16"/>
    </row>
    <row r="355" spans="17:17" x14ac:dyDescent="0.25">
      <c r="Q355" s="16"/>
    </row>
    <row r="356" spans="17:17" x14ac:dyDescent="0.25">
      <c r="Q356" s="16"/>
    </row>
    <row r="357" spans="17:17" x14ac:dyDescent="0.25">
      <c r="Q357" s="16"/>
    </row>
    <row r="358" spans="17:17" x14ac:dyDescent="0.25">
      <c r="Q358" s="16"/>
    </row>
    <row r="359" spans="17:17" x14ac:dyDescent="0.25">
      <c r="Q359" s="16"/>
    </row>
    <row r="360" spans="17:17" x14ac:dyDescent="0.25">
      <c r="Q360" s="16"/>
    </row>
    <row r="361" spans="17:17" x14ac:dyDescent="0.25">
      <c r="Q361" s="16"/>
    </row>
    <row r="362" spans="17:17" x14ac:dyDescent="0.25">
      <c r="Q362" s="16"/>
    </row>
    <row r="363" spans="17:17" x14ac:dyDescent="0.25">
      <c r="Q363" s="16"/>
    </row>
    <row r="364" spans="17:17" x14ac:dyDescent="0.25">
      <c r="Q364" s="16"/>
    </row>
    <row r="365" spans="17:17" x14ac:dyDescent="0.25">
      <c r="Q365" s="16"/>
    </row>
    <row r="366" spans="17:17" x14ac:dyDescent="0.25">
      <c r="Q366" s="16"/>
    </row>
    <row r="367" spans="17:17" x14ac:dyDescent="0.25">
      <c r="Q367" s="16"/>
    </row>
    <row r="368" spans="17:17" x14ac:dyDescent="0.25">
      <c r="Q368" s="16"/>
    </row>
    <row r="369" spans="17:17" x14ac:dyDescent="0.25">
      <c r="Q369" s="16"/>
    </row>
    <row r="370" spans="17:17" x14ac:dyDescent="0.25">
      <c r="Q370" s="16"/>
    </row>
    <row r="371" spans="17:17" x14ac:dyDescent="0.25">
      <c r="Q371" s="16"/>
    </row>
    <row r="372" spans="17:17" x14ac:dyDescent="0.25">
      <c r="Q372" s="16"/>
    </row>
    <row r="373" spans="17:17" x14ac:dyDescent="0.25">
      <c r="Q373" s="16"/>
    </row>
    <row r="374" spans="17:17" x14ac:dyDescent="0.25">
      <c r="Q374" s="16"/>
    </row>
    <row r="375" spans="17:17" x14ac:dyDescent="0.25">
      <c r="Q375" s="16"/>
    </row>
    <row r="376" spans="17:17" x14ac:dyDescent="0.25">
      <c r="Q376" s="16"/>
    </row>
    <row r="377" spans="17:17" x14ac:dyDescent="0.25">
      <c r="Q377" s="16"/>
    </row>
    <row r="378" spans="17:17" x14ac:dyDescent="0.25">
      <c r="Q378" s="16"/>
    </row>
    <row r="379" spans="17:17" x14ac:dyDescent="0.25">
      <c r="Q379" s="16"/>
    </row>
    <row r="380" spans="17:17" x14ac:dyDescent="0.25">
      <c r="Q380" s="16"/>
    </row>
    <row r="381" spans="17:17" x14ac:dyDescent="0.25">
      <c r="Q381" s="16"/>
    </row>
    <row r="382" spans="17:17" x14ac:dyDescent="0.25">
      <c r="Q382" s="16"/>
    </row>
    <row r="383" spans="17:17" x14ac:dyDescent="0.25">
      <c r="Q383" s="16"/>
    </row>
    <row r="384" spans="17:17" x14ac:dyDescent="0.25">
      <c r="Q384" s="16"/>
    </row>
    <row r="385" spans="17:17" x14ac:dyDescent="0.25">
      <c r="Q385" s="16"/>
    </row>
    <row r="386" spans="17:17" x14ac:dyDescent="0.25">
      <c r="Q386" s="16"/>
    </row>
    <row r="387" spans="17:17" x14ac:dyDescent="0.25">
      <c r="Q387" s="16"/>
    </row>
    <row r="388" spans="17:17" x14ac:dyDescent="0.25">
      <c r="Q388" s="16"/>
    </row>
    <row r="389" spans="17:17" x14ac:dyDescent="0.25">
      <c r="Q389" s="16"/>
    </row>
    <row r="390" spans="17:17" x14ac:dyDescent="0.25">
      <c r="Q390" s="16"/>
    </row>
    <row r="391" spans="17:17" x14ac:dyDescent="0.25">
      <c r="Q391" s="16"/>
    </row>
    <row r="392" spans="17:17" x14ac:dyDescent="0.25">
      <c r="Q392" s="16"/>
    </row>
    <row r="393" spans="17:17" x14ac:dyDescent="0.25">
      <c r="Q393" s="16"/>
    </row>
    <row r="394" spans="17:17" x14ac:dyDescent="0.25">
      <c r="Q394" s="16"/>
    </row>
    <row r="395" spans="17:17" x14ac:dyDescent="0.25">
      <c r="Q395" s="16"/>
    </row>
    <row r="396" spans="17:17" x14ac:dyDescent="0.25">
      <c r="Q396" s="16"/>
    </row>
    <row r="397" spans="17:17" x14ac:dyDescent="0.25">
      <c r="Q397" s="16"/>
    </row>
    <row r="398" spans="17:17" x14ac:dyDescent="0.25">
      <c r="Q398" s="16"/>
    </row>
    <row r="399" spans="17:17" x14ac:dyDescent="0.25">
      <c r="Q399" s="16"/>
    </row>
    <row r="400" spans="17:17" x14ac:dyDescent="0.25">
      <c r="Q400" s="16"/>
    </row>
    <row r="401" spans="17:17" x14ac:dyDescent="0.25">
      <c r="Q401" s="16"/>
    </row>
    <row r="402" spans="17:17" x14ac:dyDescent="0.25">
      <c r="Q402" s="16"/>
    </row>
  </sheetData>
  <sortState xmlns:xlrd2="http://schemas.microsoft.com/office/spreadsheetml/2017/richdata2" ref="A90:U104">
    <sortCondition ref="C90:C104"/>
  </sortState>
  <customSheetViews>
    <customSheetView guid="{6C0BD6A7-6718-429D-82D9-D2FE0341EA2C}" showPageBreaks="1" printArea="1" hiddenRows="1" view="pageBreakPreview">
      <pane xSplit="3" ySplit="3" topLeftCell="D43" activePane="bottomRight" state="frozen"/>
      <selection pane="bottomRight" activeCell="B80" sqref="B80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1"/>
      <headerFooter alignWithMargins="0"/>
    </customSheetView>
    <customSheetView guid="{594C4AB0-8D5F-4373-9663-410F4413FE3A}" showPageBreaks="1" printArea="1" hiddenRows="1" view="pageBreakPreview">
      <pane xSplit="3" ySplit="3" topLeftCell="D46" activePane="bottomRight" state="frozen"/>
      <selection pane="bottomRight" activeCell="P59" sqref="P59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2"/>
      <headerFooter alignWithMargins="0"/>
    </customSheetView>
    <customSheetView guid="{DF69299D-7752-4436-A45D-28F739CEE21B}" showPageBreaks="1" printArea="1" hiddenRows="1" hiddenColumns="1" view="pageBreakPreview">
      <pane xSplit="3" ySplit="3" topLeftCell="D71" activePane="bottomRight" state="frozen"/>
      <selection pane="bottomRight" activeCell="F137" sqref="F137"/>
      <rowBreaks count="1" manualBreakCount="1">
        <brk id="74" max="16" man="1"/>
      </rowBreaks>
      <pageMargins left="0" right="0" top="0" bottom="0" header="0.31496062992125984" footer="0.31496062992125984"/>
      <pageSetup paperSize="9" scale="74" orientation="landscape" r:id="rId3"/>
      <headerFooter alignWithMargins="0"/>
    </customSheetView>
  </customSheetViews>
  <mergeCells count="16">
    <mergeCell ref="D128:F128"/>
    <mergeCell ref="D116:F116"/>
    <mergeCell ref="D5:F5"/>
    <mergeCell ref="D38:F38"/>
    <mergeCell ref="D51:F51"/>
    <mergeCell ref="D87:F87"/>
    <mergeCell ref="D109:F109"/>
    <mergeCell ref="D18:F18"/>
    <mergeCell ref="D25:F25"/>
    <mergeCell ref="D43:F43"/>
    <mergeCell ref="D60:F60"/>
    <mergeCell ref="D66:F66"/>
    <mergeCell ref="D72:F72"/>
    <mergeCell ref="D78:F78"/>
    <mergeCell ref="D11:F11"/>
    <mergeCell ref="D33:F33"/>
  </mergeCells>
  <phoneticPr fontId="0" type="noConversion"/>
  <pageMargins left="0" right="0" top="0" bottom="0" header="0.31496062992125984" footer="0.31496062992125984"/>
  <pageSetup paperSize="9" scale="74" orientation="landscape" r:id="rId4"/>
  <headerFooter alignWithMargins="0"/>
  <rowBreaks count="1" manualBreakCount="1">
    <brk id="7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indexed="61"/>
  </sheetPr>
  <dimension ref="A1:Q139"/>
  <sheetViews>
    <sheetView view="pageBreakPreview" zoomScaleSheetLayoutView="100" workbookViewId="0">
      <pane xSplit="3" ySplit="3" topLeftCell="D18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796875" defaultRowHeight="10.5" x14ac:dyDescent="0.25"/>
  <cols>
    <col min="1" max="1" width="24.81640625" style="2" bestFit="1" customWidth="1"/>
    <col min="2" max="2" width="12.26953125" style="2" customWidth="1"/>
    <col min="3" max="3" width="4.453125" style="4" customWidth="1"/>
    <col min="4" max="4" width="9.26953125" style="13" bestFit="1" customWidth="1"/>
    <col min="5" max="5" width="14" style="2" bestFit="1" customWidth="1"/>
    <col min="6" max="6" width="10.453125" style="2" bestFit="1" customWidth="1"/>
    <col min="7" max="7" width="11.26953125" style="2" bestFit="1" customWidth="1"/>
    <col min="8" max="8" width="13.1796875" style="2" bestFit="1" customWidth="1"/>
    <col min="9" max="9" width="13.453125" style="2" bestFit="1" customWidth="1"/>
    <col min="10" max="10" width="9" style="2" hidden="1" customWidth="1"/>
    <col min="11" max="12" width="11.26953125" style="2" bestFit="1" customWidth="1"/>
    <col min="13" max="13" width="13.1796875" style="2" bestFit="1" customWidth="1"/>
    <col min="14" max="14" width="12" style="2" bestFit="1" customWidth="1"/>
    <col min="15" max="15" width="14" style="2" bestFit="1" customWidth="1"/>
    <col min="16" max="16" width="12" style="11" hidden="1" customWidth="1"/>
    <col min="17" max="17" width="8.81640625" style="21" bestFit="1" customWidth="1"/>
    <col min="18" max="16384" width="9.1796875" style="2"/>
  </cols>
  <sheetData>
    <row r="1" spans="1:17" x14ac:dyDescent="0.25">
      <c r="A1" s="7" t="s">
        <v>1560</v>
      </c>
      <c r="D1" s="13" t="s">
        <v>22</v>
      </c>
      <c r="O1" s="2" t="s">
        <v>1434</v>
      </c>
    </row>
    <row r="3" spans="1:17" s="125" customFormat="1" ht="19" x14ac:dyDescent="0.25">
      <c r="A3" s="302" t="s">
        <v>1</v>
      </c>
      <c r="B3" s="302" t="s">
        <v>0</v>
      </c>
      <c r="C3" s="303" t="s">
        <v>2</v>
      </c>
      <c r="D3" s="304" t="s">
        <v>3</v>
      </c>
      <c r="E3" s="305" t="s">
        <v>130</v>
      </c>
      <c r="F3" s="305" t="s">
        <v>1450</v>
      </c>
      <c r="G3" s="305" t="s">
        <v>131</v>
      </c>
      <c r="H3" s="305" t="s">
        <v>132</v>
      </c>
      <c r="I3" s="305" t="s">
        <v>137</v>
      </c>
      <c r="J3" s="305" t="s">
        <v>133</v>
      </c>
      <c r="K3" s="305" t="s">
        <v>134</v>
      </c>
      <c r="L3" s="306" t="str">
        <f>+mayor!L3</f>
        <v>INTEREST</v>
      </c>
      <c r="M3" s="307" t="s">
        <v>12</v>
      </c>
      <c r="N3" s="305" t="s">
        <v>136</v>
      </c>
      <c r="O3" s="305" t="s">
        <v>135</v>
      </c>
      <c r="P3" s="308" t="s">
        <v>63</v>
      </c>
      <c r="Q3" s="309" t="s">
        <v>11</v>
      </c>
    </row>
    <row r="4" spans="1:17" s="7" customFormat="1" ht="11" thickBot="1" x14ac:dyDescent="0.3">
      <c r="C4" s="29"/>
      <c r="D4" s="30"/>
      <c r="E4" s="72"/>
      <c r="F4" s="72"/>
      <c r="G4" s="72"/>
      <c r="H4" s="72"/>
      <c r="I4" s="72"/>
      <c r="J4" s="72"/>
      <c r="K4" s="72"/>
      <c r="L4" s="72"/>
      <c r="N4" s="72"/>
      <c r="O4" s="72"/>
      <c r="P4" s="17"/>
      <c r="Q4" s="34"/>
    </row>
    <row r="5" spans="1:17" ht="11" thickBot="1" x14ac:dyDescent="0.3">
      <c r="A5" s="284" t="s">
        <v>10</v>
      </c>
      <c r="B5" s="285" t="s">
        <v>451</v>
      </c>
      <c r="D5" s="541" t="s">
        <v>623</v>
      </c>
      <c r="E5" s="542"/>
      <c r="F5" s="543"/>
      <c r="Q5" s="16"/>
    </row>
    <row r="6" spans="1:17" x14ac:dyDescent="0.25">
      <c r="Q6" s="16"/>
    </row>
    <row r="7" spans="1:17" x14ac:dyDescent="0.25">
      <c r="A7" s="483" t="str">
        <f>+'1-10'!C9</f>
        <v>ISUZU KB200i 2x4 [073]</v>
      </c>
      <c r="B7" s="483" t="str">
        <f>+'1-10'!R9</f>
        <v>CMB 581 L</v>
      </c>
      <c r="C7" s="484">
        <v>608</v>
      </c>
      <c r="D7" s="6">
        <v>20000</v>
      </c>
      <c r="E7" s="520">
        <f>+D7/P7*(CALC!$A$4)</f>
        <v>70464.767616191908</v>
      </c>
      <c r="F7" s="28">
        <v>23400</v>
      </c>
      <c r="G7" s="28">
        <f>CALC!$A$23*(I7/CEM!I$148)</f>
        <v>2176.3023664387702</v>
      </c>
      <c r="H7" s="28">
        <v>35000</v>
      </c>
      <c r="I7" s="28">
        <v>15393.84</v>
      </c>
      <c r="J7" s="28"/>
      <c r="K7" s="528">
        <f t="shared" ref="K7:K15" si="0">678*1.06</f>
        <v>718.68000000000006</v>
      </c>
      <c r="L7" s="28"/>
      <c r="M7" s="28">
        <f>SUM(E7:L7)</f>
        <v>147153.58998263068</v>
      </c>
      <c r="N7" s="24">
        <f>M7/CALC!$A$8*CALC!$A$6</f>
        <v>2386.0936939049952</v>
      </c>
      <c r="O7" s="28">
        <f>+M7+N7</f>
        <v>149539.68367653567</v>
      </c>
      <c r="P7" s="37">
        <v>6.67</v>
      </c>
      <c r="Q7" s="38"/>
    </row>
    <row r="8" spans="1:17" x14ac:dyDescent="0.25">
      <c r="A8" s="483" t="str">
        <f>+'1-10'!C10</f>
        <v>ISUZU KB200i 2x4 [073]</v>
      </c>
      <c r="B8" s="483" t="str">
        <f>+'1-10'!R10</f>
        <v>CMB 583 L</v>
      </c>
      <c r="C8" s="484">
        <v>609</v>
      </c>
      <c r="D8" s="6">
        <v>30000</v>
      </c>
      <c r="E8" s="520">
        <f>+D8/P8*(CALC!$A$4)</f>
        <v>105697.15142428786</v>
      </c>
      <c r="F8" s="28">
        <v>23400</v>
      </c>
      <c r="G8" s="28">
        <f>CALC!$A$23*(I8/CEM!I$148)</f>
        <v>1578.6782094720247</v>
      </c>
      <c r="H8" s="28">
        <v>35000</v>
      </c>
      <c r="I8" s="28">
        <v>11166.61</v>
      </c>
      <c r="J8" s="28"/>
      <c r="K8" s="528">
        <f t="shared" si="0"/>
        <v>718.68000000000006</v>
      </c>
      <c r="L8" s="28"/>
      <c r="M8" s="28">
        <f t="shared" ref="M8:M14" si="1">SUM(E8:L8)</f>
        <v>177561.1196337599</v>
      </c>
      <c r="N8" s="24">
        <f>M8/CALC!$A$8*CALC!$A$6</f>
        <v>2879.15142193156</v>
      </c>
      <c r="O8" s="28">
        <f t="shared" ref="O8:O14" si="2">+M8+N8</f>
        <v>180440.27105569147</v>
      </c>
      <c r="P8" s="37">
        <v>6.67</v>
      </c>
      <c r="Q8" s="38"/>
    </row>
    <row r="9" spans="1:17" x14ac:dyDescent="0.25">
      <c r="A9" s="483" t="str">
        <f>+'1-10'!C11</f>
        <v>ISUZU KB200i 2x4 [093]</v>
      </c>
      <c r="B9" s="483" t="str">
        <f>+'1-10'!R11</f>
        <v>CMB 613 L</v>
      </c>
      <c r="C9" s="484">
        <v>610</v>
      </c>
      <c r="D9" s="6">
        <v>30000</v>
      </c>
      <c r="E9" s="520">
        <f>+D9/P9*(CALC!$A$4)</f>
        <v>105697.15142428786</v>
      </c>
      <c r="F9" s="28">
        <v>23400</v>
      </c>
      <c r="G9" s="28">
        <f>CALC!$A$23*(I9/CEM!I$148)</f>
        <v>2176.3023664387702</v>
      </c>
      <c r="H9" s="28">
        <v>35000</v>
      </c>
      <c r="I9" s="28">
        <v>15393.84</v>
      </c>
      <c r="J9" s="28"/>
      <c r="K9" s="528">
        <f t="shared" si="0"/>
        <v>718.68000000000006</v>
      </c>
      <c r="L9" s="28"/>
      <c r="M9" s="28">
        <f t="shared" si="1"/>
        <v>182385.97379072662</v>
      </c>
      <c r="N9" s="24">
        <f>M9/CALC!$A$8*CALC!$A$6</f>
        <v>2957.3863741288428</v>
      </c>
      <c r="O9" s="28">
        <f t="shared" si="2"/>
        <v>185343.36016485546</v>
      </c>
      <c r="P9" s="37">
        <v>6.67</v>
      </c>
      <c r="Q9" s="38"/>
    </row>
    <row r="10" spans="1:17" x14ac:dyDescent="0.25">
      <c r="A10" s="483" t="str">
        <f>+'1-10'!C13</f>
        <v>ISUZU KB200i 2x4 [083]</v>
      </c>
      <c r="B10" s="483" t="str">
        <f>+'1-10'!R13</f>
        <v>CMB 595 L</v>
      </c>
      <c r="C10" s="484">
        <v>612</v>
      </c>
      <c r="D10" s="6">
        <v>30000</v>
      </c>
      <c r="E10" s="520">
        <f>+D10/P10*(CALC!$A$4)</f>
        <v>105697.15142428786</v>
      </c>
      <c r="F10" s="28">
        <v>23400</v>
      </c>
      <c r="G10" s="28">
        <f>CALC!$A$23*(I10/CEM!I$148)</f>
        <v>2176.3023664387702</v>
      </c>
      <c r="H10" s="28">
        <v>35000</v>
      </c>
      <c r="I10" s="482">
        <v>15393.84</v>
      </c>
      <c r="J10" s="28"/>
      <c r="K10" s="528">
        <f t="shared" si="0"/>
        <v>718.68000000000006</v>
      </c>
      <c r="L10" s="28"/>
      <c r="M10" s="28">
        <f t="shared" si="1"/>
        <v>182385.97379072662</v>
      </c>
      <c r="N10" s="24">
        <f>M10/CALC!$A$8*CALC!$A$6</f>
        <v>2957.3863741288428</v>
      </c>
      <c r="O10" s="28">
        <f t="shared" si="2"/>
        <v>185343.36016485546</v>
      </c>
      <c r="P10" s="37">
        <v>6.67</v>
      </c>
      <c r="Q10" s="38"/>
    </row>
    <row r="11" spans="1:17" x14ac:dyDescent="0.25">
      <c r="A11" s="483" t="str">
        <f>+'1-10'!C16</f>
        <v>ISUZU KB200i 2x4 [073]</v>
      </c>
      <c r="B11" s="483" t="str">
        <f>+'1-10'!R16</f>
        <v>CMB 403 L</v>
      </c>
      <c r="C11" s="484">
        <v>615</v>
      </c>
      <c r="D11" s="6">
        <v>30000</v>
      </c>
      <c r="E11" s="520">
        <f>+D11/P11*(CALC!$A$4)</f>
        <v>105697.15142428786</v>
      </c>
      <c r="F11" s="28">
        <v>23400</v>
      </c>
      <c r="G11" s="28">
        <f>CALC!$A$23*(I11/CEM!I$148)</f>
        <v>2176.3023664387702</v>
      </c>
      <c r="H11" s="28">
        <v>35000</v>
      </c>
      <c r="I11" s="28">
        <v>15393.84</v>
      </c>
      <c r="J11" s="28"/>
      <c r="K11" s="528">
        <f>678*1.06</f>
        <v>718.68000000000006</v>
      </c>
      <c r="L11" s="28"/>
      <c r="M11" s="28">
        <f t="shared" si="1"/>
        <v>182385.97379072662</v>
      </c>
      <c r="N11" s="24">
        <f>M11/CALC!$A$8*CALC!$A$6</f>
        <v>2957.3863741288428</v>
      </c>
      <c r="O11" s="28">
        <f t="shared" si="2"/>
        <v>185343.36016485546</v>
      </c>
      <c r="P11" s="37">
        <v>6.67</v>
      </c>
      <c r="Q11" s="38"/>
    </row>
    <row r="12" spans="1:17" x14ac:dyDescent="0.25">
      <c r="A12" s="483" t="str">
        <f>+'1-10'!C18</f>
        <v>ISUZU KB200i 2x4 [093]</v>
      </c>
      <c r="B12" s="483" t="str">
        <f>+'1-10'!R18</f>
        <v>CMB 433 L</v>
      </c>
      <c r="C12" s="484">
        <v>617</v>
      </c>
      <c r="D12" s="6">
        <v>8000</v>
      </c>
      <c r="E12" s="48">
        <f>+D12/P12*(CALC!$A$4)</f>
        <v>28185.907046476765</v>
      </c>
      <c r="F12" s="28">
        <v>23400</v>
      </c>
      <c r="G12" s="28">
        <f>CALC!$A$23*(I12/CEM!I$148)</f>
        <v>2176.3023664387702</v>
      </c>
      <c r="H12" s="28">
        <v>35000</v>
      </c>
      <c r="I12" s="28">
        <v>15393.84</v>
      </c>
      <c r="J12" s="28"/>
      <c r="K12" s="528">
        <f t="shared" si="0"/>
        <v>718.68000000000006</v>
      </c>
      <c r="L12" s="28"/>
      <c r="M12" s="28">
        <f t="shared" si="1"/>
        <v>104874.72941291553</v>
      </c>
      <c r="N12" s="24">
        <f>M12/CALC!$A$8*CALC!$A$6</f>
        <v>1700.542477636378</v>
      </c>
      <c r="O12" s="28">
        <f t="shared" si="2"/>
        <v>106575.27189055191</v>
      </c>
      <c r="P12" s="37">
        <v>6.67</v>
      </c>
      <c r="Q12" s="38"/>
    </row>
    <row r="13" spans="1:17" x14ac:dyDescent="0.25">
      <c r="A13" s="483" t="str">
        <f>+'1-10'!C19</f>
        <v>ISUZU KB200i 2x4 [093]</v>
      </c>
      <c r="B13" s="483" t="str">
        <f>+'1-10'!R19</f>
        <v>CMB 461 L</v>
      </c>
      <c r="C13" s="484">
        <v>618</v>
      </c>
      <c r="D13" s="497">
        <v>20000</v>
      </c>
      <c r="E13" s="521">
        <f>+D13/P13*(CALC!$A$4)</f>
        <v>70464.767616191908</v>
      </c>
      <c r="F13" s="28">
        <v>23400</v>
      </c>
      <c r="G13" s="28">
        <f>CALC!$A$23*(I13/CEM!I$148)</f>
        <v>2176.3023664387702</v>
      </c>
      <c r="H13" s="28">
        <v>35000</v>
      </c>
      <c r="I13" s="28">
        <v>15393.84</v>
      </c>
      <c r="J13" s="28"/>
      <c r="K13" s="528">
        <f t="shared" si="0"/>
        <v>718.68000000000006</v>
      </c>
      <c r="L13" s="413"/>
      <c r="M13" s="28">
        <f t="shared" si="1"/>
        <v>147153.58998263068</v>
      </c>
      <c r="N13" s="24">
        <f>M13/CALC!$A$8*CALC!$A$6</f>
        <v>2386.0936939049952</v>
      </c>
      <c r="O13" s="28">
        <f t="shared" si="2"/>
        <v>149539.68367653567</v>
      </c>
      <c r="P13" s="37">
        <v>6.67</v>
      </c>
      <c r="Q13" s="38"/>
    </row>
    <row r="14" spans="1:17" x14ac:dyDescent="0.25">
      <c r="A14" s="483" t="str">
        <f>+'1-10'!C22</f>
        <v>ISUZU KB200i 2x4 [073]</v>
      </c>
      <c r="B14" s="483" t="str">
        <f>+'1-10'!R22</f>
        <v>CMB 588 L</v>
      </c>
      <c r="C14" s="484">
        <v>621</v>
      </c>
      <c r="D14" s="6">
        <v>20000</v>
      </c>
      <c r="E14" s="520">
        <f>+D14/P14*(CALC!$A$4)</f>
        <v>70464.767616191908</v>
      </c>
      <c r="F14" s="28">
        <v>23400</v>
      </c>
      <c r="G14" s="28">
        <f>CALC!$A$23*(I14/CEM!I$148)</f>
        <v>2176.3023664387702</v>
      </c>
      <c r="H14" s="28">
        <v>35000</v>
      </c>
      <c r="I14" s="482">
        <v>15393.84</v>
      </c>
      <c r="J14" s="28"/>
      <c r="K14" s="528">
        <f t="shared" si="0"/>
        <v>718.68000000000006</v>
      </c>
      <c r="L14" s="28"/>
      <c r="M14" s="28">
        <f t="shared" si="1"/>
        <v>147153.58998263068</v>
      </c>
      <c r="N14" s="24">
        <f>M14/CALC!$A$8*CALC!$A$6</f>
        <v>2386.0936939049952</v>
      </c>
      <c r="O14" s="28">
        <f t="shared" si="2"/>
        <v>149539.68367653567</v>
      </c>
      <c r="P14" s="37">
        <v>6.67</v>
      </c>
      <c r="Q14" s="38"/>
    </row>
    <row r="15" spans="1:17" x14ac:dyDescent="0.25">
      <c r="A15" s="483" t="str">
        <f>+'1-10'!C23</f>
        <v>ISUZU KB200i 2x4 [073]</v>
      </c>
      <c r="B15" s="483" t="str">
        <f>+'1-10'!R23</f>
        <v>CMB 587 L</v>
      </c>
      <c r="C15" s="484">
        <v>622</v>
      </c>
      <c r="D15" s="6">
        <v>8000</v>
      </c>
      <c r="E15" s="520">
        <f>+D15/P15*(CALC!$A$4)</f>
        <v>28185.907046476765</v>
      </c>
      <c r="F15" s="28">
        <v>23400</v>
      </c>
      <c r="G15" s="28">
        <f>CALC!$A$23*(I15/CEM!I$148)</f>
        <v>2176.3023664387702</v>
      </c>
      <c r="H15" s="28">
        <v>35000</v>
      </c>
      <c r="I15" s="28">
        <v>15393.84</v>
      </c>
      <c r="J15" s="28"/>
      <c r="K15" s="528">
        <f t="shared" si="0"/>
        <v>718.68000000000006</v>
      </c>
      <c r="L15" s="28"/>
      <c r="M15" s="28">
        <f>SUM(E15:L15)</f>
        <v>104874.72941291553</v>
      </c>
      <c r="N15" s="24">
        <f>M15/CALC!$A$8*CALC!$A$6</f>
        <v>1700.542477636378</v>
      </c>
      <c r="O15" s="28">
        <f>+M15+N15</f>
        <v>106575.27189055191</v>
      </c>
      <c r="P15" s="37">
        <v>6.67</v>
      </c>
      <c r="Q15" s="38"/>
    </row>
    <row r="16" spans="1:17" x14ac:dyDescent="0.25">
      <c r="A16" s="483" t="str">
        <f>+'1-10'!C24</f>
        <v>ISUZU KB200i 2x4 [073]</v>
      </c>
      <c r="B16" s="483" t="str">
        <f>+'1-10'!R24</f>
        <v>CMB 495 L</v>
      </c>
      <c r="C16" s="484">
        <v>623</v>
      </c>
      <c r="D16" s="6">
        <v>20000</v>
      </c>
      <c r="E16" s="520">
        <f>+D16/P16*(CALC!$A$4)</f>
        <v>70464.767616191908</v>
      </c>
      <c r="F16" s="28">
        <v>23400</v>
      </c>
      <c r="G16" s="28">
        <f>CALC!$A$23*(I16/CEM!I$148)</f>
        <v>2176.3023664387702</v>
      </c>
      <c r="H16" s="28">
        <v>35000</v>
      </c>
      <c r="I16" s="28">
        <v>15393.84</v>
      </c>
      <c r="J16" s="28"/>
      <c r="K16" s="528">
        <f>678*1.06</f>
        <v>718.68000000000006</v>
      </c>
      <c r="L16" s="28"/>
      <c r="M16" s="28">
        <f>SUM(E16:L16)</f>
        <v>147153.58998263068</v>
      </c>
      <c r="N16" s="24">
        <f>M16/CALC!$A$8*CALC!$A$6</f>
        <v>2386.0936939049952</v>
      </c>
      <c r="O16" s="28">
        <f>+M16+N16</f>
        <v>149539.68367653567</v>
      </c>
      <c r="P16" s="37">
        <v>6.67</v>
      </c>
      <c r="Q16" s="38"/>
    </row>
    <row r="17" spans="1:17" x14ac:dyDescent="0.25">
      <c r="A17" s="8"/>
      <c r="B17" s="8"/>
      <c r="C17" s="14"/>
      <c r="D17" s="6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23"/>
      <c r="Q17" s="16"/>
    </row>
    <row r="18" spans="1:17" s="7" customFormat="1" x14ac:dyDescent="0.25">
      <c r="B18" s="3" t="s">
        <v>14</v>
      </c>
      <c r="C18" s="18"/>
      <c r="D18" s="12">
        <f>SUM(D7:D17)</f>
        <v>216000</v>
      </c>
      <c r="E18" s="10">
        <f>SUM(E7:E17)</f>
        <v>761019.49025487259</v>
      </c>
      <c r="F18" s="10">
        <f t="shared" ref="F18:K18" si="3">SUM(F7:F17)</f>
        <v>234000</v>
      </c>
      <c r="G18" s="10">
        <f t="shared" si="3"/>
        <v>21165.399507420952</v>
      </c>
      <c r="H18" s="10">
        <f t="shared" si="3"/>
        <v>350000</v>
      </c>
      <c r="I18" s="10">
        <f t="shared" si="3"/>
        <v>149711.16999999998</v>
      </c>
      <c r="J18" s="10">
        <f t="shared" si="3"/>
        <v>0</v>
      </c>
      <c r="K18" s="10">
        <f t="shared" si="3"/>
        <v>7186.800000000002</v>
      </c>
      <c r="L18" s="10">
        <f>SUM(L7:L17)</f>
        <v>0</v>
      </c>
      <c r="M18" s="10">
        <f>SUM(M7:M17)</f>
        <v>1523082.8597622938</v>
      </c>
      <c r="N18" s="10">
        <f>M18/CALC!$A$8*CALC!$A$6</f>
        <v>24696.770275210827</v>
      </c>
      <c r="O18" s="10">
        <f>+M18+N18</f>
        <v>1547779.6300375045</v>
      </c>
      <c r="P18" s="25"/>
      <c r="Q18" s="111">
        <f>(+O18/D18)*(1+CALC!$A$3)</f>
        <v>7.1656464353588172</v>
      </c>
    </row>
    <row r="19" spans="1:17" s="7" customFormat="1" ht="11" thickBot="1" x14ac:dyDescent="0.3">
      <c r="C19" s="29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7"/>
    </row>
    <row r="20" spans="1:17" ht="11" thickBot="1" x14ac:dyDescent="0.3">
      <c r="A20" s="284" t="s">
        <v>10</v>
      </c>
      <c r="B20" s="285" t="s">
        <v>452</v>
      </c>
      <c r="D20" s="541" t="s">
        <v>200</v>
      </c>
      <c r="E20" s="542"/>
      <c r="F20" s="543"/>
      <c r="Q20" s="16"/>
    </row>
    <row r="21" spans="1:17" x14ac:dyDescent="0.25">
      <c r="Q21" s="16"/>
    </row>
    <row r="22" spans="1:17" x14ac:dyDescent="0.25">
      <c r="A22" s="487" t="str">
        <f>+'1-10'!C46</f>
        <v>NISSAN NP 300 4X4 [073]</v>
      </c>
      <c r="B22" s="483" t="str">
        <f>+'1-10'!R46</f>
        <v>CLW 834 L</v>
      </c>
      <c r="C22" s="484">
        <v>645</v>
      </c>
      <c r="D22" s="6">
        <v>15000</v>
      </c>
      <c r="E22" s="48">
        <f>+D22/P22*(CALC!$A$4)</f>
        <v>38778.877887788782</v>
      </c>
      <c r="F22" s="28">
        <v>23400</v>
      </c>
      <c r="G22" s="28">
        <f>CALC!$A$23*(I22/CEM!I$148)</f>
        <v>3071.7412020721281</v>
      </c>
      <c r="H22" s="28">
        <v>35000</v>
      </c>
      <c r="I22" s="482">
        <v>21727.63</v>
      </c>
      <c r="J22" s="28"/>
      <c r="K22" s="528">
        <f>678*1.06</f>
        <v>718.68000000000006</v>
      </c>
      <c r="L22" s="28"/>
      <c r="M22" s="28">
        <f>SUM(E22:L22)</f>
        <v>122696.9290898609</v>
      </c>
      <c r="N22" s="24">
        <f>M22/CALC!$A$8*CALC!$A$6</f>
        <v>1989.5292313111913</v>
      </c>
      <c r="O22" s="28">
        <f>+M22+N22</f>
        <v>124686.45832117209</v>
      </c>
      <c r="P22" s="37">
        <v>9.09</v>
      </c>
      <c r="Q22" s="40"/>
    </row>
    <row r="23" spans="1:17" x14ac:dyDescent="0.25">
      <c r="A23" s="487" t="str">
        <f>+'1-10'!C47</f>
        <v>NISSAN NP 300 4X4 [073]</v>
      </c>
      <c r="B23" s="483" t="str">
        <f>+'1-10'!R47</f>
        <v>CLW 868 L</v>
      </c>
      <c r="C23" s="484">
        <v>646</v>
      </c>
      <c r="D23" s="6">
        <v>15000</v>
      </c>
      <c r="E23" s="520">
        <f>+D23/P23*(CALC!$A$4)</f>
        <v>38778.877887788782</v>
      </c>
      <c r="F23" s="28">
        <v>23400</v>
      </c>
      <c r="G23" s="28">
        <f>CALC!$A$23*(I23/CEM!I$148)</f>
        <v>3064.2667118790628</v>
      </c>
      <c r="H23" s="28">
        <v>35000</v>
      </c>
      <c r="I23" s="482">
        <v>21674.76</v>
      </c>
      <c r="J23" s="28"/>
      <c r="K23" s="528">
        <f t="shared" ref="K23:K24" si="4">678*1.06</f>
        <v>718.68000000000006</v>
      </c>
      <c r="L23" s="28"/>
      <c r="M23" s="28">
        <f>SUM(E23:L23)</f>
        <v>122636.58459966783</v>
      </c>
      <c r="N23" s="24">
        <f>M23/CALC!$A$8*CALC!$A$6</f>
        <v>1988.5507461275911</v>
      </c>
      <c r="O23" s="28">
        <f>+M23+N23</f>
        <v>124625.13534579541</v>
      </c>
      <c r="P23" s="37">
        <v>9.09</v>
      </c>
      <c r="Q23" s="40"/>
    </row>
    <row r="24" spans="1:17" x14ac:dyDescent="0.25">
      <c r="A24" s="487" t="str">
        <f>+'1-10'!C49</f>
        <v>NISSAN NP 300 4X4 [073]</v>
      </c>
      <c r="B24" s="483" t="str">
        <f>+'1-10'!R49</f>
        <v>CLW 542 L</v>
      </c>
      <c r="C24" s="484">
        <v>648</v>
      </c>
      <c r="D24" s="6">
        <v>15000</v>
      </c>
      <c r="E24" s="520">
        <f>+D24/P24*(CALC!$A$4)</f>
        <v>38778.877887788782</v>
      </c>
      <c r="F24" s="28">
        <v>23400</v>
      </c>
      <c r="G24" s="28">
        <f>CALC!$A$23*(I24/CEM!I$148)</f>
        <v>3209.1279019911563</v>
      </c>
      <c r="H24" s="28">
        <v>35000</v>
      </c>
      <c r="I24" s="28">
        <v>22699.42</v>
      </c>
      <c r="J24" s="28"/>
      <c r="K24" s="528">
        <f t="shared" si="4"/>
        <v>718.68000000000006</v>
      </c>
      <c r="L24" s="28"/>
      <c r="M24" s="28">
        <f>SUM(E24:L24)</f>
        <v>123806.10578977993</v>
      </c>
      <c r="N24" s="24">
        <f>M24/CALC!$A$8*CALC!$A$6</f>
        <v>2007.5145181765374</v>
      </c>
      <c r="O24" s="28">
        <f>+M24+N24</f>
        <v>125813.62030795647</v>
      </c>
      <c r="P24" s="37">
        <v>9.09</v>
      </c>
      <c r="Q24" s="40"/>
    </row>
    <row r="25" spans="1:17" s="7" customFormat="1" x14ac:dyDescent="0.25">
      <c r="A25" s="310"/>
      <c r="B25" s="3" t="s">
        <v>14</v>
      </c>
      <c r="C25" s="18"/>
      <c r="D25" s="12">
        <f t="shared" ref="D25:M25" si="5">SUM(D22:D24)</f>
        <v>45000</v>
      </c>
      <c r="E25" s="10">
        <f t="shared" si="5"/>
        <v>116336.63366336634</v>
      </c>
      <c r="F25" s="10">
        <f t="shared" si="5"/>
        <v>70200</v>
      </c>
      <c r="G25" s="10">
        <f t="shared" si="5"/>
        <v>9345.1358159423471</v>
      </c>
      <c r="H25" s="10">
        <f t="shared" si="5"/>
        <v>105000</v>
      </c>
      <c r="I25" s="10">
        <f t="shared" si="5"/>
        <v>66101.81</v>
      </c>
      <c r="J25" s="10">
        <f t="shared" si="5"/>
        <v>0</v>
      </c>
      <c r="K25" s="10">
        <f t="shared" si="5"/>
        <v>2156.04</v>
      </c>
      <c r="L25" s="503"/>
      <c r="M25" s="10">
        <f t="shared" si="5"/>
        <v>369139.61947930866</v>
      </c>
      <c r="N25" s="10">
        <f>M25/CALC!$A$8*CALC!$A$6</f>
        <v>5985.5944956153198</v>
      </c>
      <c r="O25" s="10">
        <f>+M25+N25</f>
        <v>375125.213974924</v>
      </c>
      <c r="P25" s="25"/>
      <c r="Q25" s="111">
        <f>(+O25/D25)*(1+CALC!$A$3)</f>
        <v>8.3361158661094219</v>
      </c>
    </row>
    <row r="26" spans="1:17" ht="11" thickBot="1" x14ac:dyDescent="0.3">
      <c r="Q26" s="124"/>
    </row>
    <row r="27" spans="1:17" ht="11" thickBot="1" x14ac:dyDescent="0.3">
      <c r="A27" s="284" t="s">
        <v>10</v>
      </c>
      <c r="B27" s="285" t="s">
        <v>453</v>
      </c>
      <c r="D27" s="541" t="s">
        <v>625</v>
      </c>
      <c r="E27" s="542"/>
      <c r="F27" s="543"/>
      <c r="Q27" s="16"/>
    </row>
    <row r="28" spans="1:17" x14ac:dyDescent="0.25">
      <c r="A28" s="8"/>
      <c r="B28" s="8"/>
      <c r="C28" s="14"/>
      <c r="D28" s="6"/>
      <c r="E28" s="48"/>
      <c r="F28" s="28"/>
      <c r="G28" s="28"/>
      <c r="H28" s="28"/>
      <c r="I28" s="28"/>
      <c r="J28" s="28"/>
      <c r="K28" s="28"/>
      <c r="L28" s="28"/>
      <c r="M28" s="28"/>
      <c r="N28" s="24"/>
      <c r="O28" s="28"/>
      <c r="P28" s="37"/>
      <c r="Q28" s="27"/>
    </row>
    <row r="29" spans="1:17" s="7" customFormat="1" x14ac:dyDescent="0.25">
      <c r="A29" s="487" t="str">
        <f>+'1-10'!C65</f>
        <v>NISSAN   UD 40A M02 [073]</v>
      </c>
      <c r="B29" s="504" t="str">
        <f>+'1-10'!R65</f>
        <v>CMN 476 L</v>
      </c>
      <c r="C29" s="501">
        <v>664</v>
      </c>
      <c r="D29" s="12">
        <v>15000</v>
      </c>
      <c r="E29" s="524">
        <f>+D29/P29*(CALC!$A$4)</f>
        <v>176250</v>
      </c>
      <c r="F29" s="24">
        <v>23400</v>
      </c>
      <c r="G29" s="28">
        <f>CALC!$A$23*(I29/CEM!I$148)</f>
        <v>4145.4693194792089</v>
      </c>
      <c r="H29" s="24">
        <f>70000</f>
        <v>70000</v>
      </c>
      <c r="I29" s="24">
        <v>29322.53</v>
      </c>
      <c r="J29" s="24"/>
      <c r="K29" s="528">
        <f>1932*1.06</f>
        <v>2047.92</v>
      </c>
      <c r="L29" s="28"/>
      <c r="M29" s="24">
        <f>SUM(E29:L29)</f>
        <v>305165.9193194792</v>
      </c>
      <c r="N29" s="24">
        <f>M29/CALC!$A$8*CALC!$A$6</f>
        <v>4948.2617159994379</v>
      </c>
      <c r="O29" s="24">
        <f>+M29+N29</f>
        <v>310114.18103547866</v>
      </c>
      <c r="P29" s="39">
        <v>2</v>
      </c>
      <c r="Q29" s="40"/>
    </row>
    <row r="30" spans="1:17" s="7" customFormat="1" x14ac:dyDescent="0.25">
      <c r="B30" s="3" t="s">
        <v>14</v>
      </c>
      <c r="C30" s="18"/>
      <c r="D30" s="12">
        <f t="shared" ref="D30:K30" si="6">SUM(D28:D29)</f>
        <v>15000</v>
      </c>
      <c r="E30" s="10">
        <f t="shared" si="6"/>
        <v>176250</v>
      </c>
      <c r="F30" s="10">
        <f t="shared" si="6"/>
        <v>23400</v>
      </c>
      <c r="G30" s="24">
        <f>6057.27*(1+CALC!$A$2)</f>
        <v>4694.3842500000001</v>
      </c>
      <c r="H30" s="24">
        <f>H29</f>
        <v>70000</v>
      </c>
      <c r="I30" s="10">
        <f t="shared" si="6"/>
        <v>29322.53</v>
      </c>
      <c r="J30" s="10">
        <f t="shared" si="6"/>
        <v>0</v>
      </c>
      <c r="K30" s="10">
        <f t="shared" si="6"/>
        <v>2047.92</v>
      </c>
      <c r="L30" s="10">
        <f>SUM(L29)</f>
        <v>0</v>
      </c>
      <c r="M30" s="10">
        <f>SUM(M28:M29)</f>
        <v>305165.9193194792</v>
      </c>
      <c r="N30" s="10">
        <f>M30/CALC!$A$8*CALC!$A$6</f>
        <v>4948.2617159994379</v>
      </c>
      <c r="O30" s="10">
        <f>+M30+N30</f>
        <v>310114.18103547866</v>
      </c>
      <c r="P30" s="25"/>
      <c r="Q30" s="111">
        <f>(+O30/D30)*(1+CALC!$A$3)</f>
        <v>20.674278735698579</v>
      </c>
    </row>
    <row r="31" spans="1:17" ht="11" thickBot="1" x14ac:dyDescent="0.3">
      <c r="Q31" s="16"/>
    </row>
    <row r="32" spans="1:17" ht="11" thickBot="1" x14ac:dyDescent="0.3">
      <c r="A32" s="284" t="s">
        <v>10</v>
      </c>
      <c r="B32" s="285" t="s">
        <v>454</v>
      </c>
      <c r="D32" s="541" t="s">
        <v>628</v>
      </c>
      <c r="E32" s="542"/>
      <c r="F32" s="543"/>
      <c r="Q32" s="16"/>
    </row>
    <row r="33" spans="1:17" x14ac:dyDescent="0.25">
      <c r="Q33" s="16"/>
    </row>
    <row r="34" spans="1:17" x14ac:dyDescent="0.25">
      <c r="A34" s="489" t="str">
        <f>+'1-10'!C82</f>
        <v>NISSAN  UD 85   TIPPER [063]</v>
      </c>
      <c r="B34" s="483" t="str">
        <f>+'1-10'!R82</f>
        <v>CMX 083 L</v>
      </c>
      <c r="C34" s="484">
        <v>681</v>
      </c>
      <c r="D34" s="6">
        <v>15000</v>
      </c>
      <c r="E34" s="520">
        <f>+D34/P34*(CALC!$A$4)</f>
        <v>235000</v>
      </c>
      <c r="F34" s="28">
        <v>23400</v>
      </c>
      <c r="G34" s="28">
        <f>CALC!$A$23*(I34/CEM!I$148)</f>
        <v>7506.3193347727265</v>
      </c>
      <c r="H34" s="24">
        <f>95000</f>
        <v>95000</v>
      </c>
      <c r="I34" s="28">
        <v>53095.14</v>
      </c>
      <c r="J34" s="28"/>
      <c r="K34" s="528">
        <f>8358*1.06</f>
        <v>8859.48</v>
      </c>
      <c r="L34" s="502"/>
      <c r="M34" s="28">
        <f>SUM(E34:L34)</f>
        <v>422860.9393347727</v>
      </c>
      <c r="N34" s="24">
        <f>M34/CALC!$A$8*CALC!$A$6</f>
        <v>6856.6850517513012</v>
      </c>
      <c r="O34" s="28">
        <f>+M34+N34</f>
        <v>429717.62438652402</v>
      </c>
      <c r="P34" s="37">
        <v>1.5</v>
      </c>
      <c r="Q34" s="40"/>
    </row>
    <row r="35" spans="1:17" s="7" customFormat="1" x14ac:dyDescent="0.25">
      <c r="B35" s="3" t="s">
        <v>14</v>
      </c>
      <c r="C35" s="18"/>
      <c r="D35" s="12">
        <f t="shared" ref="D35:K35" si="7">SUM(D34:D34)</f>
        <v>15000</v>
      </c>
      <c r="E35" s="24">
        <f t="shared" si="7"/>
        <v>235000</v>
      </c>
      <c r="F35" s="24">
        <f t="shared" si="7"/>
        <v>23400</v>
      </c>
      <c r="G35" s="24">
        <f t="shared" si="7"/>
        <v>7506.3193347727265</v>
      </c>
      <c r="H35" s="24">
        <f t="shared" si="7"/>
        <v>95000</v>
      </c>
      <c r="I35" s="24">
        <f t="shared" si="7"/>
        <v>53095.14</v>
      </c>
      <c r="J35" s="24">
        <f t="shared" si="7"/>
        <v>0</v>
      </c>
      <c r="K35" s="24">
        <f t="shared" si="7"/>
        <v>8859.48</v>
      </c>
      <c r="L35" s="24">
        <f>SUM(L34)</f>
        <v>0</v>
      </c>
      <c r="M35" s="24">
        <f>SUM(M34:M34)</f>
        <v>422860.9393347727</v>
      </c>
      <c r="N35" s="24">
        <f>M35/CALC!$A$8*CALC!$A$6</f>
        <v>6856.6850517513012</v>
      </c>
      <c r="O35" s="24">
        <f>+M35+N35</f>
        <v>429717.62438652402</v>
      </c>
      <c r="P35" s="39"/>
      <c r="Q35" s="40">
        <f>(+O35/D35)*(1+CALC!$A$3)</f>
        <v>28.647841625768269</v>
      </c>
    </row>
    <row r="36" spans="1:17" ht="11" thickBot="1" x14ac:dyDescent="0.3">
      <c r="Q36" s="16"/>
    </row>
    <row r="37" spans="1:17" ht="11" thickBot="1" x14ac:dyDescent="0.3">
      <c r="A37" s="284" t="s">
        <v>10</v>
      </c>
      <c r="B37" s="285" t="s">
        <v>638</v>
      </c>
      <c r="D37" s="541" t="s">
        <v>629</v>
      </c>
      <c r="E37" s="542"/>
      <c r="F37" s="543"/>
      <c r="Q37" s="16"/>
    </row>
    <row r="38" spans="1:17" x14ac:dyDescent="0.25">
      <c r="A38" s="8"/>
      <c r="B38" s="8"/>
      <c r="C38" s="14"/>
      <c r="D38" s="6"/>
      <c r="E38" s="48"/>
      <c r="F38" s="28"/>
      <c r="G38" s="28"/>
      <c r="H38" s="28"/>
      <c r="I38" s="28"/>
      <c r="J38" s="28"/>
      <c r="K38" s="28"/>
      <c r="L38" s="28"/>
      <c r="M38" s="28"/>
      <c r="N38" s="24"/>
      <c r="O38" s="28"/>
      <c r="P38" s="37"/>
      <c r="Q38" s="27"/>
    </row>
    <row r="39" spans="1:17" x14ac:dyDescent="0.25">
      <c r="A39" s="498" t="str">
        <f>+'1-10'!C87</f>
        <v>NISSAN  UD 80  HONEY SUCKER [093]</v>
      </c>
      <c r="B39" s="483" t="str">
        <f>+'1-10'!R87</f>
        <v>CNK 292 L</v>
      </c>
      <c r="C39" s="484">
        <v>686</v>
      </c>
      <c r="D39" s="6">
        <v>25000</v>
      </c>
      <c r="E39" s="520">
        <f>+D39/P39*(CALC!$A$4)</f>
        <v>391666.66666666669</v>
      </c>
      <c r="F39" s="28">
        <v>23400</v>
      </c>
      <c r="G39" s="28">
        <f>CALC!$A$23*(I39/CEM!I$148)</f>
        <v>7283.6425802182821</v>
      </c>
      <c r="H39" s="24">
        <f>95000</f>
        <v>95000</v>
      </c>
      <c r="I39" s="28">
        <v>51520.06</v>
      </c>
      <c r="J39" s="28"/>
      <c r="K39" s="528">
        <f>9492*1.06</f>
        <v>10061.52</v>
      </c>
      <c r="L39" s="28"/>
      <c r="M39" s="28">
        <f>SUM(E39:L39)</f>
        <v>578931.88924688497</v>
      </c>
      <c r="N39" s="28">
        <f>M39/CALC!$A$8*CALC!$A$6</f>
        <v>9387.3736297942141</v>
      </c>
      <c r="O39" s="28">
        <f>+M39+N39</f>
        <v>588319.26287667919</v>
      </c>
      <c r="P39" s="37">
        <v>1.5</v>
      </c>
      <c r="Q39" s="126"/>
    </row>
    <row r="40" spans="1:17" s="7" customFormat="1" x14ac:dyDescent="0.25">
      <c r="B40" s="3" t="s">
        <v>14</v>
      </c>
      <c r="C40" s="18"/>
      <c r="D40" s="12">
        <f t="shared" ref="D40:K40" si="8">SUM(D38:D39)</f>
        <v>25000</v>
      </c>
      <c r="E40" s="10">
        <f t="shared" si="8"/>
        <v>391666.66666666669</v>
      </c>
      <c r="F40" s="10">
        <f t="shared" si="8"/>
        <v>23400</v>
      </c>
      <c r="G40" s="10">
        <f t="shared" si="8"/>
        <v>7283.6425802182821</v>
      </c>
      <c r="H40" s="10">
        <f t="shared" si="8"/>
        <v>95000</v>
      </c>
      <c r="I40" s="10">
        <f t="shared" si="8"/>
        <v>51520.06</v>
      </c>
      <c r="J40" s="10">
        <f t="shared" si="8"/>
        <v>0</v>
      </c>
      <c r="K40" s="10">
        <f t="shared" si="8"/>
        <v>10061.52</v>
      </c>
      <c r="L40" s="10">
        <f>SUM(L39)</f>
        <v>0</v>
      </c>
      <c r="M40" s="10">
        <f>SUM(M38:M39)</f>
        <v>578931.88924688497</v>
      </c>
      <c r="N40" s="10">
        <f>M40/CALC!$A$8*CALC!$A$6</f>
        <v>9387.3736297942141</v>
      </c>
      <c r="O40" s="10">
        <f>+M40+N40</f>
        <v>588319.26287667919</v>
      </c>
      <c r="P40" s="25"/>
      <c r="Q40" s="111">
        <f>(+O40/D40)*(1+CALC!$A$3)</f>
        <v>23.532770515067167</v>
      </c>
    </row>
    <row r="41" spans="1:17" ht="11" thickBot="1" x14ac:dyDescent="0.3">
      <c r="Q41" s="16"/>
    </row>
    <row r="42" spans="1:17" ht="11" thickBot="1" x14ac:dyDescent="0.3">
      <c r="A42" s="284" t="s">
        <v>10</v>
      </c>
      <c r="B42" s="285" t="s">
        <v>455</v>
      </c>
      <c r="D42" s="541" t="s">
        <v>630</v>
      </c>
      <c r="E42" s="542"/>
      <c r="F42" s="543"/>
      <c r="Q42" s="16"/>
    </row>
    <row r="43" spans="1:17" x14ac:dyDescent="0.25">
      <c r="A43" s="8"/>
      <c r="B43" s="8"/>
      <c r="C43" s="14"/>
      <c r="D43" s="6"/>
      <c r="E43" s="48"/>
      <c r="F43" s="28"/>
      <c r="G43" s="28"/>
      <c r="H43" s="28"/>
      <c r="I43" s="28"/>
      <c r="J43" s="28"/>
      <c r="K43" s="28"/>
      <c r="L43" s="28"/>
      <c r="M43" s="28"/>
      <c r="N43" s="24"/>
      <c r="O43" s="28"/>
      <c r="P43" s="37"/>
      <c r="Q43" s="27"/>
    </row>
    <row r="44" spans="1:17" s="7" customFormat="1" x14ac:dyDescent="0.25">
      <c r="A44" s="489" t="str">
        <f>+'1-10'!C88</f>
        <v>NISSAN  UD 80 WATER TANKER [073]</v>
      </c>
      <c r="B44" s="504" t="str">
        <f>+'1-10'!R88</f>
        <v>CNV 357 L</v>
      </c>
      <c r="C44" s="501">
        <v>687</v>
      </c>
      <c r="D44" s="12">
        <v>35000</v>
      </c>
      <c r="E44" s="524">
        <f>+D44/P44*(CALC!$A$4)</f>
        <v>548333.33333333326</v>
      </c>
      <c r="F44" s="24">
        <v>23400</v>
      </c>
      <c r="G44" s="28">
        <f>CALC!$A$23*(I44/CEM!I$148)</f>
        <v>6760.1497581793947</v>
      </c>
      <c r="H44" s="24">
        <f>95000</f>
        <v>95000</v>
      </c>
      <c r="I44" s="24">
        <v>47817.19</v>
      </c>
      <c r="J44" s="24"/>
      <c r="K44" s="530">
        <f>7770*1.06</f>
        <v>8236.2000000000007</v>
      </c>
      <c r="L44" s="28"/>
      <c r="M44" s="24">
        <f>SUM(E44:L44)</f>
        <v>729546.87309151259</v>
      </c>
      <c r="N44" s="24">
        <f>M44/CALC!$A$8*CALC!$A$6</f>
        <v>11829.593783591947</v>
      </c>
      <c r="O44" s="24">
        <f>+M44+N44</f>
        <v>741376.46687510458</v>
      </c>
      <c r="P44" s="39">
        <v>1.5</v>
      </c>
      <c r="Q44" s="40"/>
    </row>
    <row r="45" spans="1:17" s="7" customFormat="1" x14ac:dyDescent="0.25">
      <c r="B45" s="3" t="s">
        <v>14</v>
      </c>
      <c r="C45" s="18"/>
      <c r="D45" s="12">
        <f t="shared" ref="D45:K45" si="9">SUM(D43:D44)</f>
        <v>35000</v>
      </c>
      <c r="E45" s="10">
        <f t="shared" si="9"/>
        <v>548333.33333333326</v>
      </c>
      <c r="F45" s="10">
        <f t="shared" si="9"/>
        <v>23400</v>
      </c>
      <c r="G45" s="10">
        <f t="shared" si="9"/>
        <v>6760.1497581793947</v>
      </c>
      <c r="H45" s="10">
        <f t="shared" si="9"/>
        <v>95000</v>
      </c>
      <c r="I45" s="10">
        <f t="shared" si="9"/>
        <v>47817.19</v>
      </c>
      <c r="J45" s="10">
        <f t="shared" si="9"/>
        <v>0</v>
      </c>
      <c r="K45" s="10">
        <f t="shared" si="9"/>
        <v>8236.2000000000007</v>
      </c>
      <c r="L45" s="10">
        <f>SUM(L44)</f>
        <v>0</v>
      </c>
      <c r="M45" s="10">
        <f>SUM(M43:M44)</f>
        <v>729546.87309151259</v>
      </c>
      <c r="N45" s="10">
        <f>M45/CALC!$A$8*CALC!$A$6</f>
        <v>11829.593783591947</v>
      </c>
      <c r="O45" s="10">
        <f>+M45+N45</f>
        <v>741376.46687510458</v>
      </c>
      <c r="P45" s="25"/>
      <c r="Q45" s="111">
        <f>(+O45/D45)*(1+CALC!$A$3)</f>
        <v>21.182184767860132</v>
      </c>
    </row>
    <row r="46" spans="1:17" x14ac:dyDescent="0.25">
      <c r="Q46" s="16"/>
    </row>
    <row r="47" spans="1:17" ht="11" thickBot="1" x14ac:dyDescent="0.3">
      <c r="Q47" s="16"/>
    </row>
    <row r="48" spans="1:17" ht="11" thickBot="1" x14ac:dyDescent="0.3">
      <c r="A48" s="284" t="s">
        <v>10</v>
      </c>
      <c r="B48" s="285" t="s">
        <v>116</v>
      </c>
      <c r="D48" s="541" t="s">
        <v>120</v>
      </c>
      <c r="E48" s="542"/>
      <c r="F48" s="543"/>
      <c r="Q48" s="16"/>
    </row>
    <row r="49" spans="1:17" x14ac:dyDescent="0.25">
      <c r="Q49" s="16"/>
    </row>
    <row r="50" spans="1:17" s="470" customFormat="1" x14ac:dyDescent="0.25">
      <c r="A50" s="507" t="s">
        <v>1517</v>
      </c>
      <c r="B50" s="507" t="s">
        <v>1518</v>
      </c>
      <c r="C50" s="508">
        <v>117</v>
      </c>
      <c r="D50" s="464">
        <v>0</v>
      </c>
      <c r="E50" s="471">
        <f>+D50/P50*(CALC!$A$4)</f>
        <v>0</v>
      </c>
      <c r="F50" s="466">
        <v>0</v>
      </c>
      <c r="G50" s="467">
        <v>0</v>
      </c>
      <c r="H50" s="467">
        <v>0</v>
      </c>
      <c r="I50" s="466"/>
      <c r="J50" s="466"/>
      <c r="K50" s="466">
        <v>0</v>
      </c>
      <c r="L50" s="466"/>
      <c r="M50" s="466">
        <f>SUM(E50:L50)</f>
        <v>0</v>
      </c>
      <c r="N50" s="467">
        <f>M50/CALC!$A$8*CALC!$A$6</f>
        <v>0</v>
      </c>
      <c r="O50" s="466">
        <f>+M50+N50</f>
        <v>0</v>
      </c>
      <c r="P50" s="468">
        <v>0.27</v>
      </c>
      <c r="Q50" s="479"/>
    </row>
    <row r="51" spans="1:17" x14ac:dyDescent="0.25">
      <c r="A51" s="8"/>
      <c r="B51" s="8"/>
      <c r="C51" s="14"/>
      <c r="D51" s="6"/>
      <c r="E51" s="22"/>
      <c r="F51" s="9"/>
      <c r="G51" s="9"/>
      <c r="H51" s="9"/>
      <c r="I51" s="9"/>
      <c r="J51" s="9"/>
      <c r="K51" s="9"/>
      <c r="L51" s="9"/>
      <c r="M51" s="9"/>
      <c r="N51" s="9"/>
      <c r="O51" s="9"/>
      <c r="P51" s="23"/>
      <c r="Q51" s="16"/>
    </row>
    <row r="52" spans="1:17" s="7" customFormat="1" x14ac:dyDescent="0.25">
      <c r="B52" s="3" t="s">
        <v>14</v>
      </c>
      <c r="C52" s="18"/>
      <c r="D52" s="12">
        <f t="shared" ref="D52:M52" si="10">SUM(D50:D51)</f>
        <v>0</v>
      </c>
      <c r="E52" s="10">
        <f t="shared" si="10"/>
        <v>0</v>
      </c>
      <c r="F52" s="10">
        <f t="shared" si="10"/>
        <v>0</v>
      </c>
      <c r="G52" s="10">
        <f t="shared" si="10"/>
        <v>0</v>
      </c>
      <c r="H52" s="10">
        <f t="shared" si="10"/>
        <v>0</v>
      </c>
      <c r="I52" s="10">
        <f t="shared" si="10"/>
        <v>0</v>
      </c>
      <c r="J52" s="10">
        <f t="shared" si="10"/>
        <v>0</v>
      </c>
      <c r="K52" s="10">
        <f t="shared" si="10"/>
        <v>0</v>
      </c>
      <c r="L52" s="10"/>
      <c r="M52" s="10">
        <f t="shared" si="10"/>
        <v>0</v>
      </c>
      <c r="N52" s="10">
        <f>M52/CALC!$A$8*CALC!$A$6</f>
        <v>0</v>
      </c>
      <c r="O52" s="10">
        <f>+M52+N52</f>
        <v>0</v>
      </c>
      <c r="P52" s="25"/>
      <c r="Q52" s="111" t="e">
        <f>(+O52/D52)*(1+CALC!$A$3)</f>
        <v>#DIV/0!</v>
      </c>
    </row>
    <row r="53" spans="1:17" ht="11" thickBot="1" x14ac:dyDescent="0.3">
      <c r="Q53" s="16"/>
    </row>
    <row r="54" spans="1:17" ht="11" thickBot="1" x14ac:dyDescent="0.3">
      <c r="A54" s="284" t="s">
        <v>10</v>
      </c>
      <c r="B54" s="285" t="s">
        <v>117</v>
      </c>
      <c r="D54" s="541" t="s">
        <v>121</v>
      </c>
      <c r="E54" s="542"/>
      <c r="F54" s="543"/>
      <c r="Q54" s="16"/>
    </row>
    <row r="55" spans="1:17" x14ac:dyDescent="0.25">
      <c r="Q55" s="16"/>
    </row>
    <row r="56" spans="1:17" s="470" customFormat="1" x14ac:dyDescent="0.25">
      <c r="A56" s="463" t="s">
        <v>1486</v>
      </c>
      <c r="B56" s="463" t="s">
        <v>1487</v>
      </c>
      <c r="C56" s="334">
        <v>103</v>
      </c>
      <c r="D56" s="464">
        <v>300</v>
      </c>
      <c r="E56" s="471">
        <f>+D56/P56*(CALC!$A$4)</f>
        <v>9038.4615384615372</v>
      </c>
      <c r="F56" s="466">
        <v>3000</v>
      </c>
      <c r="G56" s="28">
        <f>CALC!$A$23*(I56/CEM!I$148)</f>
        <v>0</v>
      </c>
      <c r="H56" s="466">
        <f>5000*(1+CALC!$A$2)</f>
        <v>3875</v>
      </c>
      <c r="I56" s="466"/>
      <c r="J56" s="466"/>
      <c r="K56" s="528">
        <f>168*1.06</f>
        <v>178.08</v>
      </c>
      <c r="L56" s="466"/>
      <c r="M56" s="466">
        <f>SUM(E56:L56)</f>
        <v>16091.541538461537</v>
      </c>
      <c r="N56" s="467">
        <f>M56/CALC!$A$8*CALC!$A$6</f>
        <v>260.92415274860389</v>
      </c>
      <c r="O56" s="466">
        <f>+M56+N56</f>
        <v>16352.465691210142</v>
      </c>
      <c r="P56" s="468">
        <v>0.78</v>
      </c>
      <c r="Q56" s="479"/>
    </row>
    <row r="57" spans="1:17" x14ac:dyDescent="0.25">
      <c r="A57" s="8"/>
      <c r="B57" s="8"/>
      <c r="C57" s="14"/>
      <c r="D57" s="6"/>
      <c r="E57" s="22"/>
      <c r="F57" s="9"/>
      <c r="G57" s="9"/>
      <c r="H57" s="9"/>
      <c r="I57" s="9"/>
      <c r="J57" s="9"/>
      <c r="K57" s="9"/>
      <c r="L57" s="9"/>
      <c r="M57" s="9"/>
      <c r="N57" s="9"/>
      <c r="O57" s="9"/>
      <c r="P57" s="23"/>
      <c r="Q57" s="16"/>
    </row>
    <row r="58" spans="1:17" s="7" customFormat="1" x14ac:dyDescent="0.25">
      <c r="B58" s="3" t="s">
        <v>14</v>
      </c>
      <c r="C58" s="18"/>
      <c r="D58" s="12">
        <f t="shared" ref="D58:M58" si="11">SUM(D56:D57)</f>
        <v>300</v>
      </c>
      <c r="E58" s="10">
        <f t="shared" si="11"/>
        <v>9038.4615384615372</v>
      </c>
      <c r="F58" s="10">
        <f t="shared" si="11"/>
        <v>3000</v>
      </c>
      <c r="G58" s="10">
        <f t="shared" si="11"/>
        <v>0</v>
      </c>
      <c r="H58" s="10">
        <f t="shared" si="11"/>
        <v>3875</v>
      </c>
      <c r="I58" s="10">
        <f t="shared" si="11"/>
        <v>0</v>
      </c>
      <c r="J58" s="10">
        <f t="shared" si="11"/>
        <v>0</v>
      </c>
      <c r="K58" s="10">
        <f t="shared" si="11"/>
        <v>178.08</v>
      </c>
      <c r="L58" s="10"/>
      <c r="M58" s="10">
        <f t="shared" si="11"/>
        <v>16091.541538461537</v>
      </c>
      <c r="N58" s="10">
        <f>M58/CALC!$A$8*CALC!$A$6</f>
        <v>260.92415274860389</v>
      </c>
      <c r="O58" s="10">
        <f>+M58+N58</f>
        <v>16352.465691210142</v>
      </c>
      <c r="P58" s="25"/>
      <c r="Q58" s="111">
        <f>(+O58/D58)*(1+CALC!$A$3)</f>
        <v>54.508218970700476</v>
      </c>
    </row>
    <row r="59" spans="1:17" ht="11" thickBot="1" x14ac:dyDescent="0.3">
      <c r="Q59" s="16"/>
    </row>
    <row r="60" spans="1:17" ht="11" thickBot="1" x14ac:dyDescent="0.3">
      <c r="A60" s="284" t="s">
        <v>10</v>
      </c>
      <c r="B60" s="285" t="s">
        <v>118</v>
      </c>
      <c r="D60" s="541" t="s">
        <v>32</v>
      </c>
      <c r="E60" s="542"/>
      <c r="F60" s="543"/>
      <c r="Q60" s="16"/>
    </row>
    <row r="61" spans="1:17" x14ac:dyDescent="0.25">
      <c r="Q61" s="16"/>
    </row>
    <row r="62" spans="1:17" s="470" customFormat="1" x14ac:dyDescent="0.25">
      <c r="A62" s="463" t="s">
        <v>90</v>
      </c>
      <c r="B62" s="480" t="s">
        <v>91</v>
      </c>
      <c r="C62" s="334">
        <v>328</v>
      </c>
      <c r="D62" s="464">
        <v>25000</v>
      </c>
      <c r="E62" s="471">
        <f>+D62/P62*(CALC!$A$4)</f>
        <v>587500</v>
      </c>
      <c r="F62" s="466">
        <v>3000</v>
      </c>
      <c r="G62" s="28">
        <f>CALC!$A$23*(I62/CEM!I$148)</f>
        <v>0</v>
      </c>
      <c r="H62" s="466">
        <f>40000*(1+CALC!$A$2)</f>
        <v>31000</v>
      </c>
      <c r="I62" s="466"/>
      <c r="J62" s="466"/>
      <c r="K62" s="466">
        <v>10200</v>
      </c>
      <c r="L62" s="466"/>
      <c r="M62" s="466">
        <f>SUM(E62:L62)</f>
        <v>631700</v>
      </c>
      <c r="N62" s="467">
        <f>M62/CALC!$A$8*CALC!$A$6</f>
        <v>10243.007911785908</v>
      </c>
      <c r="O62" s="466">
        <f>+M62+N62</f>
        <v>641943.00791178585</v>
      </c>
      <c r="P62" s="468">
        <v>1</v>
      </c>
      <c r="Q62" s="479"/>
    </row>
    <row r="63" spans="1:17" x14ac:dyDescent="0.25">
      <c r="A63" s="36"/>
      <c r="B63" s="8"/>
      <c r="C63" s="14"/>
      <c r="D63" s="6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23"/>
      <c r="Q63" s="16"/>
    </row>
    <row r="64" spans="1:17" s="7" customFormat="1" x14ac:dyDescent="0.25">
      <c r="B64" s="3" t="s">
        <v>14</v>
      </c>
      <c r="C64" s="18"/>
      <c r="D64" s="12">
        <f t="shared" ref="D64:M64" si="12">SUM(D62:D63)</f>
        <v>25000</v>
      </c>
      <c r="E64" s="10">
        <f t="shared" si="12"/>
        <v>587500</v>
      </c>
      <c r="F64" s="10">
        <f t="shared" si="12"/>
        <v>3000</v>
      </c>
      <c r="G64" s="10">
        <f t="shared" si="12"/>
        <v>0</v>
      </c>
      <c r="H64" s="10">
        <f t="shared" si="12"/>
        <v>31000</v>
      </c>
      <c r="I64" s="10">
        <f t="shared" si="12"/>
        <v>0</v>
      </c>
      <c r="J64" s="10">
        <f t="shared" si="12"/>
        <v>0</v>
      </c>
      <c r="K64" s="10">
        <f t="shared" si="12"/>
        <v>10200</v>
      </c>
      <c r="L64" s="10"/>
      <c r="M64" s="10">
        <f t="shared" si="12"/>
        <v>631700</v>
      </c>
      <c r="N64" s="10">
        <f>M64/CALC!$A$8*CALC!$A$6</f>
        <v>10243.007911785908</v>
      </c>
      <c r="O64" s="10">
        <f>+M64+N64</f>
        <v>641943.00791178585</v>
      </c>
      <c r="P64" s="25"/>
      <c r="Q64" s="111">
        <f>(+O64/D64)*(1+CALC!$A$3)</f>
        <v>25.677720316471433</v>
      </c>
    </row>
    <row r="65" spans="1:17" x14ac:dyDescent="0.25">
      <c r="Q65" s="16"/>
    </row>
    <row r="66" spans="1:17" x14ac:dyDescent="0.25">
      <c r="Q66" s="16"/>
    </row>
    <row r="67" spans="1:17" ht="11" hidden="1" thickBot="1" x14ac:dyDescent="0.3">
      <c r="A67" s="56" t="s">
        <v>10</v>
      </c>
      <c r="B67" s="57" t="s">
        <v>43</v>
      </c>
      <c r="D67" s="544" t="s">
        <v>33</v>
      </c>
      <c r="E67" s="545"/>
      <c r="F67" s="546"/>
      <c r="Q67" s="16"/>
    </row>
    <row r="68" spans="1:17" hidden="1" x14ac:dyDescent="0.25">
      <c r="Q68" s="16"/>
    </row>
    <row r="69" spans="1:17" hidden="1" x14ac:dyDescent="0.25">
      <c r="A69" s="8"/>
      <c r="B69" s="8"/>
      <c r="C69" s="14"/>
      <c r="D69" s="6"/>
      <c r="E69" s="22"/>
      <c r="F69" s="9"/>
      <c r="G69" s="9"/>
      <c r="H69" s="9"/>
      <c r="I69" s="9"/>
      <c r="J69" s="9"/>
      <c r="K69" s="9"/>
      <c r="L69" s="9"/>
      <c r="M69" s="9"/>
      <c r="N69" s="10"/>
      <c r="O69" s="9"/>
      <c r="P69" s="23">
        <v>5.59</v>
      </c>
      <c r="Q69" s="16"/>
    </row>
    <row r="70" spans="1:17" hidden="1" x14ac:dyDescent="0.25">
      <c r="A70" s="8"/>
      <c r="B70" s="8"/>
      <c r="C70" s="14"/>
      <c r="D70" s="6"/>
      <c r="E70" s="22"/>
      <c r="F70" s="9"/>
      <c r="G70" s="9"/>
      <c r="H70" s="9"/>
      <c r="I70" s="9"/>
      <c r="J70" s="9"/>
      <c r="K70" s="9"/>
      <c r="L70" s="9"/>
      <c r="M70" s="9"/>
      <c r="N70" s="9"/>
      <c r="O70" s="9"/>
      <c r="P70" s="23"/>
      <c r="Q70" s="16"/>
    </row>
    <row r="71" spans="1:17" hidden="1" x14ac:dyDescent="0.25">
      <c r="A71" s="8"/>
      <c r="B71" s="8"/>
      <c r="C71" s="14"/>
      <c r="D71" s="6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23"/>
      <c r="Q71" s="16"/>
    </row>
    <row r="72" spans="1:17" s="7" customFormat="1" hidden="1" x14ac:dyDescent="0.25">
      <c r="B72" s="3"/>
      <c r="C72" s="18"/>
      <c r="D72" s="12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25"/>
      <c r="Q72" s="27"/>
    </row>
    <row r="73" spans="1:17" hidden="1" x14ac:dyDescent="0.25">
      <c r="Q73" s="16"/>
    </row>
    <row r="74" spans="1:17" s="7" customFormat="1" ht="11" thickBot="1" x14ac:dyDescent="0.3">
      <c r="C74" s="29"/>
      <c r="D74" s="30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27"/>
    </row>
    <row r="75" spans="1:17" ht="11" thickBot="1" x14ac:dyDescent="0.3">
      <c r="A75" s="284" t="s">
        <v>10</v>
      </c>
      <c r="B75" s="285" t="s">
        <v>119</v>
      </c>
      <c r="D75" s="541" t="s">
        <v>122</v>
      </c>
      <c r="E75" s="542"/>
      <c r="F75" s="543"/>
      <c r="Q75" s="16"/>
    </row>
    <row r="76" spans="1:17" x14ac:dyDescent="0.25">
      <c r="Q76" s="16"/>
    </row>
    <row r="77" spans="1:17" s="470" customFormat="1" x14ac:dyDescent="0.25">
      <c r="A77" s="483" t="s">
        <v>631</v>
      </c>
      <c r="B77" s="483" t="str">
        <f>orig!A194</f>
        <v>BZN 610 L</v>
      </c>
      <c r="C77" s="484">
        <v>417</v>
      </c>
      <c r="D77" s="464">
        <v>35000</v>
      </c>
      <c r="E77" s="520">
        <f>+D77/P77*(CALC!$A$4)</f>
        <v>244791.66666666669</v>
      </c>
      <c r="F77" s="466">
        <v>23400</v>
      </c>
      <c r="G77" s="466">
        <f>9900*(1+CALC!$A$2)</f>
        <v>7672.5</v>
      </c>
      <c r="H77" s="466">
        <f>55000*(1+CALC!$A$2)</f>
        <v>42625</v>
      </c>
      <c r="I77" s="466">
        <f>726389/8*0.75</f>
        <v>68098.96875</v>
      </c>
      <c r="J77" s="466"/>
      <c r="K77" s="528">
        <f>9492*1.06</f>
        <v>10061.52</v>
      </c>
      <c r="L77" s="466"/>
      <c r="M77" s="466">
        <f>SUM(E77:L77)</f>
        <v>396649.6554166667</v>
      </c>
      <c r="N77" s="467">
        <f>M77/CALC!$A$8*CALC!$A$6</f>
        <v>6431.6693978788517</v>
      </c>
      <c r="O77" s="466">
        <f>+M77+N77</f>
        <v>403081.32481454557</v>
      </c>
      <c r="P77" s="468">
        <v>3.36</v>
      </c>
      <c r="Q77" s="469"/>
    </row>
    <row r="78" spans="1:17" x14ac:dyDescent="0.25">
      <c r="A78" s="8"/>
      <c r="B78" s="8"/>
      <c r="C78" s="14"/>
      <c r="D78" s="6"/>
      <c r="E78" s="22"/>
      <c r="F78" s="9"/>
      <c r="G78" s="9"/>
      <c r="H78" s="9"/>
      <c r="I78" s="9"/>
      <c r="J78" s="9"/>
      <c r="K78" s="9"/>
      <c r="L78" s="9"/>
      <c r="M78" s="9">
        <f>SUM(E78:L78)</f>
        <v>0</v>
      </c>
      <c r="N78" s="9"/>
      <c r="O78" s="9">
        <f>+M78+N78</f>
        <v>0</v>
      </c>
      <c r="P78" s="23"/>
      <c r="Q78" s="16"/>
    </row>
    <row r="79" spans="1:17" s="7" customFormat="1" x14ac:dyDescent="0.25">
      <c r="B79" s="3" t="s">
        <v>14</v>
      </c>
      <c r="C79" s="18"/>
      <c r="D79" s="12">
        <f t="shared" ref="D79:M79" si="13">SUM(D77:D78)</f>
        <v>35000</v>
      </c>
      <c r="E79" s="10">
        <f t="shared" si="13"/>
        <v>244791.66666666669</v>
      </c>
      <c r="F79" s="10">
        <f t="shared" si="13"/>
        <v>23400</v>
      </c>
      <c r="G79" s="10">
        <f t="shared" si="13"/>
        <v>7672.5</v>
      </c>
      <c r="H79" s="10">
        <f t="shared" si="13"/>
        <v>42625</v>
      </c>
      <c r="I79" s="10">
        <f t="shared" si="13"/>
        <v>68098.96875</v>
      </c>
      <c r="J79" s="10">
        <f t="shared" si="13"/>
        <v>0</v>
      </c>
      <c r="K79" s="10">
        <f t="shared" si="13"/>
        <v>10061.52</v>
      </c>
      <c r="L79" s="10"/>
      <c r="M79" s="10">
        <f t="shared" si="13"/>
        <v>396649.6554166667</v>
      </c>
      <c r="N79" s="10">
        <f>M79/CALC!$A$8*CALC!$A$6</f>
        <v>6431.6693978788517</v>
      </c>
      <c r="O79" s="10">
        <f>+M79+N79</f>
        <v>403081.32481454557</v>
      </c>
      <c r="P79" s="25"/>
      <c r="Q79" s="111">
        <f>(+O79/D79)*(1+CALC!$A$3)</f>
        <v>11.516609280415588</v>
      </c>
    </row>
    <row r="80" spans="1:17" s="7" customFormat="1" ht="11" thickBot="1" x14ac:dyDescent="0.3">
      <c r="C80" s="29"/>
      <c r="D80" s="30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27"/>
    </row>
    <row r="81" spans="1:17" ht="11" thickBot="1" x14ac:dyDescent="0.3">
      <c r="A81" s="284" t="s">
        <v>10</v>
      </c>
      <c r="B81" s="285" t="s">
        <v>148</v>
      </c>
      <c r="D81" s="541" t="s">
        <v>123</v>
      </c>
      <c r="E81" s="542"/>
      <c r="F81" s="543"/>
      <c r="Q81" s="16"/>
    </row>
    <row r="82" spans="1:17" x14ac:dyDescent="0.25">
      <c r="Q82" s="16"/>
    </row>
    <row r="83" spans="1:17" s="470" customFormat="1" x14ac:dyDescent="0.25">
      <c r="A83" s="483" t="s">
        <v>631</v>
      </c>
      <c r="B83" s="483" t="str">
        <f>orig!A196</f>
        <v>BYV 520 L</v>
      </c>
      <c r="C83" s="484">
        <v>419</v>
      </c>
      <c r="D83" s="464">
        <v>30000</v>
      </c>
      <c r="E83" s="520">
        <f>+D83/P83*(CALC!$A$4)</f>
        <v>705000</v>
      </c>
      <c r="F83" s="466">
        <v>23400</v>
      </c>
      <c r="G83" s="28">
        <f>CALC!$A$23*(I83/CEM!I$148)</f>
        <v>11966.663923937291</v>
      </c>
      <c r="H83" s="466">
        <f>50000*(1+CALC!$A$2)</f>
        <v>38750</v>
      </c>
      <c r="I83" s="466">
        <f>902879/8*0.75</f>
        <v>84644.90625</v>
      </c>
      <c r="J83" s="466"/>
      <c r="K83" s="528">
        <f>9228*1.06</f>
        <v>9781.68</v>
      </c>
      <c r="L83" s="466"/>
      <c r="M83" s="466">
        <f>SUM(E83:L83)</f>
        <v>873543.2501739373</v>
      </c>
      <c r="N83" s="467">
        <f>M83/CALC!$A$8*CALC!$A$6</f>
        <v>14164.49330824571</v>
      </c>
      <c r="O83" s="466">
        <f>+M83+N83</f>
        <v>887707.74348218297</v>
      </c>
      <c r="P83" s="468">
        <v>1</v>
      </c>
      <c r="Q83" s="469"/>
    </row>
    <row r="84" spans="1:17" x14ac:dyDescent="0.25">
      <c r="A84" s="8"/>
      <c r="B84" s="8"/>
      <c r="C84" s="14"/>
      <c r="D84" s="6"/>
      <c r="E84" s="9"/>
      <c r="F84" s="9"/>
      <c r="G84" s="9"/>
      <c r="H84" s="9"/>
      <c r="I84" s="9"/>
      <c r="J84" s="9"/>
      <c r="K84" s="9"/>
      <c r="L84" s="9"/>
      <c r="M84" s="9">
        <f>SUM(E84:L84)</f>
        <v>0</v>
      </c>
      <c r="N84" s="9"/>
      <c r="O84" s="9">
        <f>+M84+N84</f>
        <v>0</v>
      </c>
      <c r="P84" s="23"/>
      <c r="Q84" s="16"/>
    </row>
    <row r="85" spans="1:17" s="7" customFormat="1" x14ac:dyDescent="0.25">
      <c r="B85" s="3" t="s">
        <v>14</v>
      </c>
      <c r="C85" s="18"/>
      <c r="D85" s="12">
        <f t="shared" ref="D85:M85" si="14">SUM(D83:D84)</f>
        <v>30000</v>
      </c>
      <c r="E85" s="10">
        <f t="shared" si="14"/>
        <v>705000</v>
      </c>
      <c r="F85" s="10">
        <f t="shared" si="14"/>
        <v>23400</v>
      </c>
      <c r="G85" s="10">
        <f t="shared" si="14"/>
        <v>11966.663923937291</v>
      </c>
      <c r="H85" s="10">
        <f t="shared" si="14"/>
        <v>38750</v>
      </c>
      <c r="I85" s="10">
        <f t="shared" si="14"/>
        <v>84644.90625</v>
      </c>
      <c r="J85" s="10">
        <f t="shared" si="14"/>
        <v>0</v>
      </c>
      <c r="K85" s="10">
        <f t="shared" si="14"/>
        <v>9781.68</v>
      </c>
      <c r="L85" s="10"/>
      <c r="M85" s="10">
        <f t="shared" si="14"/>
        <v>873543.2501739373</v>
      </c>
      <c r="N85" s="10">
        <f>M85/CALC!$A$8*CALC!$A$6</f>
        <v>14164.49330824571</v>
      </c>
      <c r="O85" s="10">
        <f>+M85+N85</f>
        <v>887707.74348218297</v>
      </c>
      <c r="P85" s="25"/>
      <c r="Q85" s="111">
        <f>(+O85/D85)*(1+CALC!$A$3)</f>
        <v>29.590258116072764</v>
      </c>
    </row>
    <row r="86" spans="1:17" s="7" customFormat="1" ht="11" thickBot="1" x14ac:dyDescent="0.3">
      <c r="C86" s="29"/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111"/>
    </row>
    <row r="87" spans="1:17" s="7" customFormat="1" ht="11" thickBot="1" x14ac:dyDescent="0.3">
      <c r="A87" s="284" t="s">
        <v>10</v>
      </c>
      <c r="B87" s="285" t="s">
        <v>1498</v>
      </c>
      <c r="C87" s="4"/>
      <c r="D87" s="531" t="s">
        <v>1499</v>
      </c>
      <c r="E87" s="532"/>
      <c r="F87" s="533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111"/>
    </row>
    <row r="88" spans="1:17" s="7" customFormat="1" x14ac:dyDescent="0.25">
      <c r="A88" s="7" t="s">
        <v>1500</v>
      </c>
      <c r="C88" s="29"/>
      <c r="D88" s="30">
        <v>2000</v>
      </c>
      <c r="E88" s="520">
        <f>+D88*P88*(CALC!$A$4)</f>
        <v>3760000</v>
      </c>
      <c r="F88" s="31"/>
      <c r="G88" s="28">
        <f>CALC!$A$23*(I88/CEM!I$148)</f>
        <v>0</v>
      </c>
      <c r="H88" s="31">
        <v>30000</v>
      </c>
      <c r="I88" s="31"/>
      <c r="J88" s="31"/>
      <c r="K88" s="31"/>
      <c r="L88" s="31"/>
      <c r="M88" s="466">
        <f t="shared" ref="M88:M92" si="15">SUM(E88:L88)</f>
        <v>3790000</v>
      </c>
      <c r="N88" s="31"/>
      <c r="O88" s="466">
        <f t="shared" ref="O88:O92" si="16">+M88+N88</f>
        <v>3790000</v>
      </c>
      <c r="P88" s="31">
        <v>80</v>
      </c>
      <c r="Q88" s="111"/>
    </row>
    <row r="89" spans="1:17" s="7" customFormat="1" x14ac:dyDescent="0.25">
      <c r="A89" s="7" t="s">
        <v>1501</v>
      </c>
      <c r="C89" s="29"/>
      <c r="D89" s="30">
        <v>2000</v>
      </c>
      <c r="E89" s="520">
        <f>+D89*P89*(CALC!$A$4)</f>
        <v>3760000</v>
      </c>
      <c r="F89" s="31"/>
      <c r="G89" s="28">
        <f>CALC!$A$23*(I89/CEM!I$148)</f>
        <v>0</v>
      </c>
      <c r="H89" s="31">
        <v>30000</v>
      </c>
      <c r="I89" s="31"/>
      <c r="J89" s="31"/>
      <c r="K89" s="31"/>
      <c r="L89" s="31"/>
      <c r="M89" s="466">
        <f t="shared" si="15"/>
        <v>3790000</v>
      </c>
      <c r="N89" s="31"/>
      <c r="O89" s="466">
        <f t="shared" si="16"/>
        <v>3790000</v>
      </c>
      <c r="P89" s="31">
        <v>80</v>
      </c>
      <c r="Q89" s="111"/>
    </row>
    <row r="90" spans="1:17" s="7" customFormat="1" x14ac:dyDescent="0.25">
      <c r="A90" s="7" t="s">
        <v>1502</v>
      </c>
      <c r="C90" s="29"/>
      <c r="D90" s="30">
        <v>2000</v>
      </c>
      <c r="E90" s="520">
        <f>+D90*P90*(CALC!$A$4)</f>
        <v>3760000</v>
      </c>
      <c r="F90" s="31"/>
      <c r="G90" s="28">
        <f>CALC!$A$23*(I90/CEM!I$148)</f>
        <v>0</v>
      </c>
      <c r="H90" s="31">
        <v>30000</v>
      </c>
      <c r="I90" s="31"/>
      <c r="J90" s="31"/>
      <c r="K90" s="31"/>
      <c r="L90" s="31"/>
      <c r="M90" s="466">
        <f t="shared" si="15"/>
        <v>3790000</v>
      </c>
      <c r="N90" s="31"/>
      <c r="O90" s="466">
        <f t="shared" si="16"/>
        <v>3790000</v>
      </c>
      <c r="P90" s="31">
        <v>80</v>
      </c>
      <c r="Q90" s="111"/>
    </row>
    <row r="91" spans="1:17" s="7" customFormat="1" x14ac:dyDescent="0.25">
      <c r="A91" s="7" t="s">
        <v>1503</v>
      </c>
      <c r="C91" s="29"/>
      <c r="D91" s="30">
        <v>2000</v>
      </c>
      <c r="E91" s="520">
        <f>+D91*P91*(CALC!$A$4)</f>
        <v>3760000</v>
      </c>
      <c r="F91" s="31"/>
      <c r="G91" s="28">
        <f>CALC!$A$23*(I91/CEM!I$148)</f>
        <v>0</v>
      </c>
      <c r="H91" s="31">
        <v>30000</v>
      </c>
      <c r="I91" s="31"/>
      <c r="J91" s="31"/>
      <c r="K91" s="31"/>
      <c r="L91" s="31"/>
      <c r="M91" s="466">
        <f t="shared" si="15"/>
        <v>3790000</v>
      </c>
      <c r="N91" s="31"/>
      <c r="O91" s="466">
        <f t="shared" si="16"/>
        <v>3790000</v>
      </c>
      <c r="P91" s="31">
        <v>80</v>
      </c>
      <c r="Q91" s="111"/>
    </row>
    <row r="92" spans="1:17" x14ac:dyDescent="0.25">
      <c r="A92" s="2" t="s">
        <v>1504</v>
      </c>
      <c r="D92" s="30">
        <v>2000</v>
      </c>
      <c r="E92" s="520">
        <f>+D92*P92*(CALC!$A$4)</f>
        <v>3760000</v>
      </c>
      <c r="G92" s="28">
        <f>CALC!$A$23*(I92/CEM!I$148)</f>
        <v>0</v>
      </c>
      <c r="H92" s="31">
        <v>30000</v>
      </c>
      <c r="M92" s="466">
        <f t="shared" si="15"/>
        <v>3790000</v>
      </c>
      <c r="O92" s="466">
        <f t="shared" si="16"/>
        <v>3790000</v>
      </c>
      <c r="P92" s="31">
        <v>80</v>
      </c>
      <c r="Q92" s="16"/>
    </row>
    <row r="93" spans="1:17" x14ac:dyDescent="0.25">
      <c r="B93" s="3" t="s">
        <v>14</v>
      </c>
      <c r="C93" s="18"/>
      <c r="D93" s="12">
        <f>SUM(D88:D92)</f>
        <v>10000</v>
      </c>
      <c r="E93" s="10">
        <f>SUM(E87:E92)</f>
        <v>18800000</v>
      </c>
      <c r="F93" s="10">
        <f t="shared" ref="F93" si="17">SUM(F91:F92)</f>
        <v>0</v>
      </c>
      <c r="G93" s="10">
        <f>SUM(G86:G92)</f>
        <v>0</v>
      </c>
      <c r="H93" s="10">
        <f t="shared" ref="H93:P93" si="18">SUM(H86:H92)</f>
        <v>150000</v>
      </c>
      <c r="I93" s="10">
        <f t="shared" si="18"/>
        <v>0</v>
      </c>
      <c r="J93" s="10">
        <f t="shared" si="18"/>
        <v>0</v>
      </c>
      <c r="K93" s="10">
        <f t="shared" si="18"/>
        <v>0</v>
      </c>
      <c r="L93" s="10">
        <f t="shared" si="18"/>
        <v>0</v>
      </c>
      <c r="M93" s="10">
        <f>SUM(M88:M92)</f>
        <v>18950000</v>
      </c>
      <c r="N93" s="10">
        <f t="shared" si="18"/>
        <v>0</v>
      </c>
      <c r="O93" s="10">
        <f t="shared" si="18"/>
        <v>18950000</v>
      </c>
      <c r="P93" s="10">
        <f t="shared" si="18"/>
        <v>400</v>
      </c>
      <c r="Q93" s="111">
        <f>(+O93/D93)*(1+CALC!$A$3)</f>
        <v>1895</v>
      </c>
    </row>
    <row r="94" spans="1:17" x14ac:dyDescent="0.25">
      <c r="Q94" s="16"/>
    </row>
    <row r="95" spans="1:17" ht="11" thickBot="1" x14ac:dyDescent="0.3">
      <c r="Q95" s="16"/>
    </row>
    <row r="96" spans="1:17" s="7" customFormat="1" ht="11" thickBot="1" x14ac:dyDescent="0.3">
      <c r="A96" s="32" t="s">
        <v>76</v>
      </c>
      <c r="B96" s="75" t="s">
        <v>14</v>
      </c>
      <c r="C96" s="76"/>
      <c r="D96" s="77">
        <f>+D97+D98+D99</f>
        <v>451300</v>
      </c>
      <c r="E96" s="78">
        <f>+E97+E98+E99</f>
        <v>22574936.252123371</v>
      </c>
      <c r="F96" s="78">
        <f t="shared" ref="F96:O96" si="19">+F97+F98+F99</f>
        <v>450600</v>
      </c>
      <c r="G96" s="78">
        <f t="shared" si="19"/>
        <v>76394.195170470994</v>
      </c>
      <c r="H96" s="78">
        <f>+H97+H98+H99</f>
        <v>1076250</v>
      </c>
      <c r="I96" s="78">
        <f t="shared" si="19"/>
        <v>550311.77499999991</v>
      </c>
      <c r="J96" s="78">
        <f t="shared" si="19"/>
        <v>0</v>
      </c>
      <c r="K96" s="78">
        <f t="shared" si="19"/>
        <v>68769.240000000005</v>
      </c>
      <c r="L96" s="78">
        <f t="shared" si="19"/>
        <v>0</v>
      </c>
      <c r="M96" s="78">
        <f t="shared" si="19"/>
        <v>24796712.547363319</v>
      </c>
      <c r="N96" s="78">
        <f t="shared" si="19"/>
        <v>94804.373722622113</v>
      </c>
      <c r="O96" s="78">
        <f t="shared" si="19"/>
        <v>24891516.921085935</v>
      </c>
      <c r="P96" s="26"/>
      <c r="Q96" s="26"/>
    </row>
    <row r="97" spans="1:17" s="7" customFormat="1" ht="11" thickBot="1" x14ac:dyDescent="0.3">
      <c r="A97" s="32" t="s">
        <v>92</v>
      </c>
      <c r="B97" s="58" t="s">
        <v>14</v>
      </c>
      <c r="C97" s="59"/>
      <c r="D97" s="60">
        <f>+D7+D8+D11+D14+D15+D16+D25+D30+D35+D45+D52+D64+D85+D93</f>
        <v>303000</v>
      </c>
      <c r="E97" s="60">
        <f t="shared" ref="E97:O97" si="20">+E7+E8+E11+E14+E15+E16+E25+E30+E35+E45+E52+E64+E85+E93</f>
        <v>21619394.479740329</v>
      </c>
      <c r="F97" s="60">
        <f t="shared" si="20"/>
        <v>307200</v>
      </c>
      <c r="G97" s="60">
        <f t="shared" si="20"/>
        <v>52732.843124497631</v>
      </c>
      <c r="H97" s="60">
        <f t="shared" si="20"/>
        <v>794750</v>
      </c>
      <c r="I97" s="60">
        <f t="shared" si="20"/>
        <v>369117.38624999998</v>
      </c>
      <c r="J97" s="60">
        <f t="shared" si="20"/>
        <v>0</v>
      </c>
      <c r="K97" s="60">
        <f t="shared" si="20"/>
        <v>45593.4</v>
      </c>
      <c r="L97" s="60">
        <f t="shared" si="20"/>
        <v>0</v>
      </c>
      <c r="M97" s="60">
        <f t="shared" si="20"/>
        <v>23188239.194184303</v>
      </c>
      <c r="N97" s="60">
        <f t="shared" si="20"/>
        <v>68722.997622401381</v>
      </c>
      <c r="O97" s="60">
        <f t="shared" si="20"/>
        <v>23256962.191806704</v>
      </c>
      <c r="P97" s="123"/>
      <c r="Q97" s="33"/>
    </row>
    <row r="98" spans="1:17" s="7" customFormat="1" ht="11" thickBot="1" x14ac:dyDescent="0.3">
      <c r="A98" s="32" t="s">
        <v>93</v>
      </c>
      <c r="B98" s="58" t="s">
        <v>14</v>
      </c>
      <c r="C98" s="59"/>
      <c r="D98" s="60">
        <f>+D9+D10</f>
        <v>60000</v>
      </c>
      <c r="E98" s="61">
        <f>+E9+E10</f>
        <v>211394.30284857572</v>
      </c>
      <c r="F98" s="61">
        <f t="shared" ref="F98:O98" si="21">+F9+F10</f>
        <v>46800</v>
      </c>
      <c r="G98" s="61">
        <f t="shared" si="21"/>
        <v>4352.6047328775403</v>
      </c>
      <c r="H98" s="61">
        <f t="shared" si="21"/>
        <v>70000</v>
      </c>
      <c r="I98" s="61">
        <f t="shared" si="21"/>
        <v>30787.68</v>
      </c>
      <c r="J98" s="61">
        <f t="shared" si="21"/>
        <v>0</v>
      </c>
      <c r="K98" s="61">
        <f t="shared" si="21"/>
        <v>1437.3600000000001</v>
      </c>
      <c r="L98" s="61">
        <f t="shared" si="21"/>
        <v>0</v>
      </c>
      <c r="M98" s="61">
        <f t="shared" si="21"/>
        <v>364771.94758145325</v>
      </c>
      <c r="N98" s="61">
        <f t="shared" si="21"/>
        <v>5914.7727482576856</v>
      </c>
      <c r="O98" s="61">
        <f t="shared" si="21"/>
        <v>370686.72032971092</v>
      </c>
      <c r="P98" s="33"/>
      <c r="Q98" s="33"/>
    </row>
    <row r="99" spans="1:17" s="7" customFormat="1" ht="11" thickBot="1" x14ac:dyDescent="0.3">
      <c r="A99" s="32" t="s">
        <v>94</v>
      </c>
      <c r="B99" s="58" t="s">
        <v>14</v>
      </c>
      <c r="C99" s="59"/>
      <c r="D99" s="60">
        <f>+D12+D13+D39+D58+D77</f>
        <v>88300</v>
      </c>
      <c r="E99" s="61">
        <f>+E12+E13+E39+E58+E77</f>
        <v>744147.4695344636</v>
      </c>
      <c r="F99" s="61">
        <f t="shared" ref="F99:O99" si="22">+F12+F13+F39+F58+F77</f>
        <v>96600</v>
      </c>
      <c r="G99" s="61">
        <f t="shared" si="22"/>
        <v>19308.747313095824</v>
      </c>
      <c r="H99" s="61">
        <f t="shared" si="22"/>
        <v>211500</v>
      </c>
      <c r="I99" s="61">
        <f t="shared" si="22"/>
        <v>150406.70874999999</v>
      </c>
      <c r="J99" s="61">
        <f t="shared" si="22"/>
        <v>0</v>
      </c>
      <c r="K99" s="61">
        <f t="shared" si="22"/>
        <v>21738.480000000003</v>
      </c>
      <c r="L99" s="61">
        <f t="shared" si="22"/>
        <v>0</v>
      </c>
      <c r="M99" s="61">
        <f t="shared" si="22"/>
        <v>1243701.4055975594</v>
      </c>
      <c r="N99" s="61">
        <f t="shared" si="22"/>
        <v>20166.603351963044</v>
      </c>
      <c r="O99" s="61">
        <f t="shared" si="22"/>
        <v>1263868.0089495224</v>
      </c>
      <c r="P99" s="33"/>
      <c r="Q99" s="33"/>
    </row>
    <row r="100" spans="1:17" x14ac:dyDescent="0.25"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6"/>
    </row>
    <row r="101" spans="1:17" x14ac:dyDescent="0.25">
      <c r="O101" s="20"/>
      <c r="Q101" s="16"/>
    </row>
    <row r="102" spans="1:17" x14ac:dyDescent="0.25">
      <c r="D102" s="13">
        <f>D96</f>
        <v>451300</v>
      </c>
      <c r="E102" s="13">
        <f t="shared" ref="E102:O102" si="23">E96</f>
        <v>22574936.252123371</v>
      </c>
      <c r="F102" s="13">
        <f t="shared" si="23"/>
        <v>450600</v>
      </c>
      <c r="G102" s="13">
        <f t="shared" si="23"/>
        <v>76394.195170470994</v>
      </c>
      <c r="H102" s="13">
        <f t="shared" si="23"/>
        <v>1076250</v>
      </c>
      <c r="I102" s="13">
        <f t="shared" si="23"/>
        <v>550311.77499999991</v>
      </c>
      <c r="J102" s="13">
        <f t="shared" si="23"/>
        <v>0</v>
      </c>
      <c r="K102" s="13">
        <f t="shared" si="23"/>
        <v>68769.240000000005</v>
      </c>
      <c r="L102" s="13">
        <f t="shared" si="23"/>
        <v>0</v>
      </c>
      <c r="M102" s="13">
        <f t="shared" si="23"/>
        <v>24796712.547363319</v>
      </c>
      <c r="N102" s="13">
        <f t="shared" si="23"/>
        <v>94804.373722622113</v>
      </c>
      <c r="O102" s="13">
        <f t="shared" si="23"/>
        <v>24891516.921085935</v>
      </c>
      <c r="Q102" s="16"/>
    </row>
    <row r="103" spans="1:17" x14ac:dyDescent="0.25">
      <c r="I103" s="49">
        <f>-I79</f>
        <v>-68098.96875</v>
      </c>
      <c r="O103" s="20"/>
      <c r="Q103" s="16"/>
    </row>
    <row r="104" spans="1:17" x14ac:dyDescent="0.25">
      <c r="I104" s="49">
        <f>-I85</f>
        <v>-84644.90625</v>
      </c>
      <c r="Q104" s="16"/>
    </row>
    <row r="105" spans="1:17" x14ac:dyDescent="0.25">
      <c r="Q105" s="16"/>
    </row>
    <row r="106" spans="1:17" x14ac:dyDescent="0.25">
      <c r="Q106" s="16"/>
    </row>
    <row r="107" spans="1:17" x14ac:dyDescent="0.25">
      <c r="Q107" s="16"/>
    </row>
    <row r="108" spans="1:17" x14ac:dyDescent="0.25">
      <c r="I108" s="11">
        <f>233684+35368+155280+1157728+2463975+965892</f>
        <v>5011927</v>
      </c>
      <c r="Q108" s="16"/>
    </row>
    <row r="109" spans="1:17" x14ac:dyDescent="0.25">
      <c r="Q109" s="16"/>
    </row>
    <row r="110" spans="1:17" x14ac:dyDescent="0.25">
      <c r="Q110" s="16"/>
    </row>
    <row r="111" spans="1:17" x14ac:dyDescent="0.25">
      <c r="Q111" s="16"/>
    </row>
    <row r="112" spans="1:17" x14ac:dyDescent="0.25">
      <c r="Q112" s="16"/>
    </row>
    <row r="113" spans="17:17" x14ac:dyDescent="0.25">
      <c r="Q113" s="16"/>
    </row>
    <row r="114" spans="17:17" x14ac:dyDescent="0.25">
      <c r="Q114" s="16"/>
    </row>
    <row r="139" spans="6:6" x14ac:dyDescent="0.25">
      <c r="F139" s="2">
        <f>SUM(F130:F138)</f>
        <v>0</v>
      </c>
    </row>
  </sheetData>
  <customSheetViews>
    <customSheetView guid="{6C0BD6A7-6718-429D-82D9-D2FE0341EA2C}" showPageBreaks="1" printArea="1" hiddenRows="1" hiddenColumns="1" view="pageBreakPreview">
      <pane xSplit="3" ySplit="3" topLeftCell="D63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1"/>
      <headerFooter alignWithMargins="0"/>
    </customSheetView>
    <customSheetView guid="{594C4AB0-8D5F-4373-9663-410F4413FE3A}" showPageBreaks="1" printArea="1" hiddenRows="1" hiddenColumns="1" view="pageBreakPreview">
      <pane xSplit="3" ySplit="3" topLeftCell="D62" activePane="bottomRight" state="frozen"/>
      <selection pane="bottomRight" activeCell="F84" sqref="F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2"/>
      <headerFooter alignWithMargins="0"/>
    </customSheetView>
    <customSheetView guid="{DF69299D-7752-4436-A45D-28F739CEE21B}" showPageBreaks="1" printArea="1" hiddenRows="1" hiddenColumns="1" view="pageBreakPreview">
      <pane xSplit="3" ySplit="3" topLeftCell="D4" activePane="bottomRight" state="frozen"/>
      <selection pane="bottomRight" activeCell="N12" sqref="N12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3"/>
      <headerFooter alignWithMargins="0"/>
    </customSheetView>
  </customSheetViews>
  <mergeCells count="12">
    <mergeCell ref="D48:F48"/>
    <mergeCell ref="D60:F60"/>
    <mergeCell ref="D67:F67"/>
    <mergeCell ref="D81:F81"/>
    <mergeCell ref="D5:F5"/>
    <mergeCell ref="D27:F27"/>
    <mergeCell ref="D54:F54"/>
    <mergeCell ref="D75:F75"/>
    <mergeCell ref="D20:F20"/>
    <mergeCell ref="D32:F32"/>
    <mergeCell ref="D37:F37"/>
    <mergeCell ref="D42:F42"/>
  </mergeCells>
  <phoneticPr fontId="0" type="noConversion"/>
  <pageMargins left="0" right="0" top="0" bottom="0" header="0.31496062992125984" footer="0.31496062992125984"/>
  <pageSetup paperSize="8" scale="84" orientation="landscape" r:id="rId4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AU80"/>
  <sheetViews>
    <sheetView zoomScaleSheetLayoutView="100" workbookViewId="0">
      <selection activeCell="B1" sqref="B1"/>
    </sheetView>
  </sheetViews>
  <sheetFormatPr defaultColWidth="9.1796875" defaultRowHeight="15.5" x14ac:dyDescent="0.35"/>
  <cols>
    <col min="1" max="1" width="30.81640625" style="361" bestFit="1" customWidth="1"/>
    <col min="2" max="2" width="20.81640625" style="360" bestFit="1" customWidth="1"/>
    <col min="3" max="3" width="16.1796875" style="416" hidden="1" customWidth="1"/>
    <col min="4" max="5" width="15.1796875" style="416" hidden="1" customWidth="1"/>
    <col min="6" max="8" width="13.1796875" style="416" hidden="1" customWidth="1"/>
    <col min="9" max="11" width="15.1796875" style="416" hidden="1" customWidth="1"/>
    <col min="12" max="12" width="13.1796875" style="416" hidden="1" customWidth="1"/>
    <col min="13" max="13" width="15.1796875" style="416" hidden="1" customWidth="1"/>
    <col min="14" max="14" width="13.1796875" style="416" hidden="1" customWidth="1"/>
    <col min="15" max="15" width="12" style="416" hidden="1" customWidth="1"/>
    <col min="16" max="16" width="10.453125" style="416" hidden="1" customWidth="1"/>
    <col min="17" max="17" width="11.26953125" style="416" hidden="1" customWidth="1"/>
    <col min="18" max="19" width="9.1796875" style="416" hidden="1" customWidth="1"/>
    <col min="20" max="20" width="20.81640625" style="360" bestFit="1" customWidth="1"/>
    <col min="21" max="21" width="9.1796875" style="360" customWidth="1"/>
    <col min="22" max="22" width="20.81640625" style="360" bestFit="1" customWidth="1"/>
    <col min="23" max="23" width="9.1796875" style="360"/>
    <col min="24" max="24" width="15.54296875" style="360" bestFit="1" customWidth="1"/>
    <col min="25" max="28" width="20.81640625" style="360" bestFit="1" customWidth="1"/>
    <col min="29" max="16384" width="9.1796875" style="360"/>
  </cols>
  <sheetData>
    <row r="1" spans="1:19" x14ac:dyDescent="0.35">
      <c r="A1" s="359" t="s">
        <v>1459</v>
      </c>
      <c r="C1" s="415"/>
    </row>
    <row r="2" spans="1:19" ht="16" thickBot="1" x14ac:dyDescent="0.4"/>
    <row r="3" spans="1:19" hidden="1" x14ac:dyDescent="0.35">
      <c r="A3" s="362"/>
      <c r="B3" s="362"/>
      <c r="C3" s="417" t="str">
        <f>+mayor!B6</f>
        <v>V0152</v>
      </c>
      <c r="D3" s="417" t="str">
        <f>+mayor!B13</f>
        <v>V0153</v>
      </c>
      <c r="E3" s="417" t="str">
        <f>+mayor!B20</f>
        <v>V0154</v>
      </c>
      <c r="F3" s="417" t="str">
        <f>+mayor!B26</f>
        <v>V0103</v>
      </c>
      <c r="G3" s="418" t="s">
        <v>1447</v>
      </c>
    </row>
    <row r="4" spans="1:19" ht="14.25" hidden="1" customHeight="1" x14ac:dyDescent="0.35">
      <c r="A4" s="362"/>
      <c r="B4" s="363"/>
      <c r="C4" s="419">
        <f>+mayor!Q11</f>
        <v>6.3596539841145576</v>
      </c>
      <c r="D4" s="419">
        <f>+mayor!Q18</f>
        <v>14.050905430506734</v>
      </c>
      <c r="E4" s="419">
        <f>+mayor!Q24</f>
        <v>5.1125906267688048</v>
      </c>
      <c r="F4" s="419">
        <f>+mayor!Q30</f>
        <v>1.0941220938267138</v>
      </c>
      <c r="G4" s="420">
        <f>+mayor!Q36</f>
        <v>2.9396985195965883</v>
      </c>
    </row>
    <row r="5" spans="1:19" s="367" customFormat="1" hidden="1" x14ac:dyDescent="0.35">
      <c r="A5" s="364"/>
      <c r="B5" s="365">
        <f>+C5+D5+E5+F5+G5</f>
        <v>127452</v>
      </c>
      <c r="C5" s="421">
        <f>+C7+C9</f>
        <v>43876</v>
      </c>
      <c r="D5" s="421">
        <f>+D7+D9</f>
        <v>22000</v>
      </c>
      <c r="E5" s="421">
        <f t="shared" ref="E5:G6" si="0">+E11</f>
        <v>32576</v>
      </c>
      <c r="F5" s="421">
        <f t="shared" si="0"/>
        <v>25000</v>
      </c>
      <c r="G5" s="422">
        <f t="shared" si="0"/>
        <v>4000</v>
      </c>
      <c r="H5" s="423"/>
      <c r="I5" s="456">
        <f>+B5+B16+B21+B23+B28+B34+B45+B54+B59+B64</f>
        <v>2656222</v>
      </c>
      <c r="J5" s="423"/>
      <c r="K5" s="423"/>
      <c r="L5" s="423"/>
      <c r="M5" s="423"/>
      <c r="N5" s="423"/>
      <c r="O5" s="423"/>
      <c r="P5" s="423"/>
      <c r="Q5" s="423"/>
      <c r="R5" s="423"/>
      <c r="S5" s="423"/>
    </row>
    <row r="6" spans="1:19" hidden="1" x14ac:dyDescent="0.35">
      <c r="A6" s="368"/>
      <c r="B6" s="369">
        <f>+C6+D6+E6+F6+G6</f>
        <v>793815.69635983324</v>
      </c>
      <c r="C6" s="424">
        <f>+C8+C10</f>
        <v>279036.17820701032</v>
      </c>
      <c r="D6" s="424">
        <f>+D8+D10</f>
        <v>309119.91947114817</v>
      </c>
      <c r="E6" s="424">
        <f t="shared" si="0"/>
        <v>166547.7522576206</v>
      </c>
      <c r="F6" s="424">
        <f t="shared" si="0"/>
        <v>27353.052345667846</v>
      </c>
      <c r="G6" s="425">
        <f t="shared" si="0"/>
        <v>11758.794078386354</v>
      </c>
      <c r="H6" s="425"/>
    </row>
    <row r="7" spans="1:19" ht="16" hidden="1" thickBot="1" x14ac:dyDescent="0.4">
      <c r="A7" s="380"/>
      <c r="B7" s="381">
        <f t="shared" ref="B7:B10" si="1">+C7+D7+E7+F7</f>
        <v>32592</v>
      </c>
      <c r="C7" s="426">
        <f>+mayor!D8</f>
        <v>20592</v>
      </c>
      <c r="D7" s="426">
        <f>+mayor!D16</f>
        <v>12000</v>
      </c>
      <c r="E7" s="426"/>
      <c r="F7" s="426"/>
      <c r="G7" s="422"/>
    </row>
    <row r="8" spans="1:19" x14ac:dyDescent="0.35">
      <c r="A8" s="382" t="s">
        <v>84</v>
      </c>
      <c r="B8" s="383">
        <f t="shared" si="1"/>
        <v>299568.86000696779</v>
      </c>
      <c r="C8" s="427">
        <f>+C7*C4</f>
        <v>130957.99484088697</v>
      </c>
      <c r="D8" s="428">
        <f t="shared" ref="D8:F8" si="2">+D7*D4</f>
        <v>168610.86516608082</v>
      </c>
      <c r="E8" s="428">
        <f t="shared" si="2"/>
        <v>0</v>
      </c>
      <c r="F8" s="428">
        <f t="shared" si="2"/>
        <v>0</v>
      </c>
      <c r="G8" s="425"/>
    </row>
    <row r="9" spans="1:19" hidden="1" x14ac:dyDescent="0.35">
      <c r="A9" s="384"/>
      <c r="B9" s="385">
        <f t="shared" si="1"/>
        <v>33284</v>
      </c>
      <c r="C9" s="429">
        <f>+mayor!D9</f>
        <v>23284</v>
      </c>
      <c r="D9" s="426">
        <f>+mayor!D15</f>
        <v>10000</v>
      </c>
      <c r="E9" s="426"/>
      <c r="F9" s="426"/>
      <c r="G9" s="422"/>
    </row>
    <row r="10" spans="1:19" x14ac:dyDescent="0.35">
      <c r="A10" s="384" t="s">
        <v>85</v>
      </c>
      <c r="B10" s="386">
        <f t="shared" si="1"/>
        <v>288587.2376711907</v>
      </c>
      <c r="C10" s="427">
        <f>+C9*C4</f>
        <v>148078.18336612335</v>
      </c>
      <c r="D10" s="428">
        <f t="shared" ref="D10:F10" si="3">+D9*D4</f>
        <v>140509.05430506734</v>
      </c>
      <c r="E10" s="428">
        <f t="shared" si="3"/>
        <v>0</v>
      </c>
      <c r="F10" s="428">
        <f t="shared" si="3"/>
        <v>0</v>
      </c>
      <c r="G10" s="425"/>
    </row>
    <row r="11" spans="1:19" hidden="1" x14ac:dyDescent="0.35">
      <c r="A11" s="384"/>
      <c r="B11" s="385">
        <f>+C11+D11+E11+F11+G11</f>
        <v>61576</v>
      </c>
      <c r="C11" s="429"/>
      <c r="D11" s="426"/>
      <c r="E11" s="426">
        <f>+mayor!D24</f>
        <v>32576</v>
      </c>
      <c r="F11" s="426">
        <f>+mayor!D30</f>
        <v>25000</v>
      </c>
      <c r="G11" s="426">
        <f>+mayor!D34</f>
        <v>4000</v>
      </c>
    </row>
    <row r="12" spans="1:19" x14ac:dyDescent="0.35">
      <c r="A12" s="384" t="s">
        <v>195</v>
      </c>
      <c r="B12" s="385">
        <f>+C12+D12+E12+F12+G12</f>
        <v>205659.5986816748</v>
      </c>
      <c r="C12" s="427"/>
      <c r="D12" s="428"/>
      <c r="E12" s="428">
        <f>+E11*E4</f>
        <v>166547.7522576206</v>
      </c>
      <c r="F12" s="428">
        <f>+F11*F4</f>
        <v>27353.052345667846</v>
      </c>
      <c r="G12" s="428">
        <f>+G11*G4</f>
        <v>11758.794078386354</v>
      </c>
      <c r="I12" s="453">
        <f>B8+B10+B12</f>
        <v>793815.69635983324</v>
      </c>
    </row>
    <row r="13" spans="1:19" hidden="1" x14ac:dyDescent="0.35">
      <c r="A13" s="387"/>
      <c r="B13" s="388"/>
    </row>
    <row r="14" spans="1:19" hidden="1" x14ac:dyDescent="0.35">
      <c r="A14" s="389"/>
      <c r="B14" s="390"/>
      <c r="C14" s="430" t="str">
        <f>+income!B7</f>
        <v>V0164</v>
      </c>
      <c r="D14" s="431"/>
    </row>
    <row r="15" spans="1:19" hidden="1" x14ac:dyDescent="0.35">
      <c r="A15" s="384"/>
      <c r="B15" s="386"/>
      <c r="C15" s="427">
        <f>+income!Q12</f>
        <v>5.1951908247588969</v>
      </c>
      <c r="D15" s="428"/>
    </row>
    <row r="16" spans="1:19" s="371" customFormat="1" hidden="1" x14ac:dyDescent="0.35">
      <c r="A16" s="384"/>
      <c r="B16" s="385">
        <f>+C16</f>
        <v>120000</v>
      </c>
      <c r="C16" s="429">
        <f>+income!D16</f>
        <v>120000</v>
      </c>
      <c r="D16" s="426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</row>
    <row r="17" spans="1:21" x14ac:dyDescent="0.35">
      <c r="A17" s="384" t="s">
        <v>193</v>
      </c>
      <c r="B17" s="386">
        <f>+C17</f>
        <v>623422.89897106763</v>
      </c>
      <c r="C17" s="427">
        <f>+$C$15*$C$16</f>
        <v>623422.89897106763</v>
      </c>
      <c r="D17" s="428"/>
      <c r="E17" s="433"/>
    </row>
    <row r="18" spans="1:21" hidden="1" x14ac:dyDescent="0.35">
      <c r="A18" s="387"/>
      <c r="B18" s="388"/>
    </row>
    <row r="19" spans="1:21" hidden="1" x14ac:dyDescent="0.35">
      <c r="A19" s="389"/>
      <c r="B19" s="390"/>
      <c r="C19" s="430" t="str">
        <f>+workshop!B6</f>
        <v>V0155</v>
      </c>
      <c r="D19" s="431" t="str">
        <f>+workshop!B13</f>
        <v>V0156</v>
      </c>
    </row>
    <row r="20" spans="1:21" hidden="1" x14ac:dyDescent="0.35">
      <c r="A20" s="384"/>
      <c r="B20" s="386"/>
      <c r="C20" s="427">
        <f>+workshop!Q11</f>
        <v>12.953565084399358</v>
      </c>
      <c r="D20" s="428">
        <f>+workshop!Q16</f>
        <v>10.584617079899493</v>
      </c>
    </row>
    <row r="21" spans="1:21" s="371" customFormat="1" hidden="1" x14ac:dyDescent="0.35">
      <c r="A21" s="384"/>
      <c r="B21" s="385">
        <f>+C21+D21</f>
        <v>21300</v>
      </c>
      <c r="C21" s="429">
        <f>+workshop!D8+workshop!D10</f>
        <v>11300</v>
      </c>
      <c r="D21" s="426">
        <f>+workshop!D15</f>
        <v>10000</v>
      </c>
      <c r="E21" s="432"/>
      <c r="F21" s="432"/>
      <c r="G21" s="432"/>
      <c r="H21" s="432"/>
      <c r="I21" s="432"/>
      <c r="J21" s="432"/>
      <c r="K21" s="432"/>
      <c r="L21" s="432"/>
      <c r="M21" s="432"/>
      <c r="N21" s="432"/>
      <c r="O21" s="432"/>
      <c r="P21" s="432"/>
      <c r="Q21" s="432"/>
      <c r="R21" s="432"/>
      <c r="S21" s="432"/>
    </row>
    <row r="22" spans="1:21" x14ac:dyDescent="0.35">
      <c r="A22" s="384" t="s">
        <v>44</v>
      </c>
      <c r="B22" s="386">
        <f>+C22+D22</f>
        <v>252221.45625270769</v>
      </c>
      <c r="C22" s="427">
        <f>+C21*C20</f>
        <v>146375.28545371274</v>
      </c>
      <c r="D22" s="428">
        <f>+D21*D20</f>
        <v>105846.17079899494</v>
      </c>
      <c r="I22" s="453">
        <f>B22+B24</f>
        <v>381757.10709670128</v>
      </c>
    </row>
    <row r="23" spans="1:21" s="371" customFormat="1" hidden="1" x14ac:dyDescent="0.35">
      <c r="A23" s="384"/>
      <c r="B23" s="385">
        <f>+C23+D23</f>
        <v>10000</v>
      </c>
      <c r="C23" s="429">
        <f>+workshop!D9</f>
        <v>10000</v>
      </c>
      <c r="D23" s="426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2"/>
      <c r="S23" s="432"/>
    </row>
    <row r="24" spans="1:21" x14ac:dyDescent="0.35">
      <c r="A24" s="384" t="s">
        <v>1438</v>
      </c>
      <c r="B24" s="386">
        <f>+C24+D24</f>
        <v>129535.65084399359</v>
      </c>
      <c r="C24" s="427">
        <f>+C23*C20</f>
        <v>129535.65084399359</v>
      </c>
      <c r="D24" s="428">
        <f>+D23*D20</f>
        <v>0</v>
      </c>
    </row>
    <row r="25" spans="1:21" hidden="1" x14ac:dyDescent="0.35">
      <c r="A25" s="387"/>
      <c r="B25" s="388"/>
    </row>
    <row r="26" spans="1:21" s="359" customFormat="1" hidden="1" x14ac:dyDescent="0.35">
      <c r="A26" s="389"/>
      <c r="B26" s="390"/>
      <c r="C26" s="430" t="str">
        <f>+'COMMUNITY SERV'!B5</f>
        <v>V0157</v>
      </c>
      <c r="D26" s="431" t="str">
        <f>+'COMMUNITY SERV'!B11</f>
        <v>V0158</v>
      </c>
      <c r="E26" s="431" t="str">
        <f>+'COMMUNITY SERV'!B18</f>
        <v>V0159</v>
      </c>
      <c r="F26" s="431" t="str">
        <f>+'COMMUNITY SERV'!B25</f>
        <v>V0160</v>
      </c>
      <c r="G26" s="431" t="str">
        <f>+'COMMUNITY SERV'!B31</f>
        <v>V0111</v>
      </c>
      <c r="H26" s="431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</row>
    <row r="27" spans="1:21" s="372" customFormat="1" hidden="1" x14ac:dyDescent="0.35">
      <c r="A27" s="391"/>
      <c r="B27" s="386"/>
      <c r="C27" s="427">
        <f>+'COMMUNITY SERV'!Q9</f>
        <v>7.4769841838267839</v>
      </c>
      <c r="D27" s="428">
        <f>+'COMMUNITY SERV'!Q16</f>
        <v>8.2611102297391952</v>
      </c>
      <c r="E27" s="428">
        <f>+'COMMUNITY SERV'!Q23</f>
        <v>20.790831751995473</v>
      </c>
      <c r="F27" s="428">
        <f>+'COMMUNITY SERV'!Q29</f>
        <v>18.208684992254817</v>
      </c>
      <c r="G27" s="428">
        <f>+'COMMUNITY SERV'!Q40</f>
        <v>125.2457738212036</v>
      </c>
      <c r="H27" s="428"/>
      <c r="I27" s="425"/>
      <c r="J27" s="425"/>
      <c r="K27" s="425"/>
      <c r="L27" s="425"/>
      <c r="M27" s="434"/>
      <c r="N27" s="434"/>
      <c r="O27" s="434"/>
      <c r="P27" s="434"/>
      <c r="Q27" s="425"/>
      <c r="R27" s="425"/>
      <c r="S27" s="425"/>
      <c r="T27" s="370"/>
      <c r="U27" s="370"/>
    </row>
    <row r="28" spans="1:21" s="366" customFormat="1" hidden="1" x14ac:dyDescent="0.35">
      <c r="A28" s="384"/>
      <c r="B28" s="385">
        <f>+C28+D28+E28+F28+G28+H28</f>
        <v>96800</v>
      </c>
      <c r="C28" s="429">
        <f>+'COMMUNITY SERV'!D9</f>
        <v>20000</v>
      </c>
      <c r="D28" s="426">
        <f>+'COMMUNITY SERV'!D16</f>
        <v>35000</v>
      </c>
      <c r="E28" s="426">
        <f>+'COMMUNITY SERV'!D23</f>
        <v>25000</v>
      </c>
      <c r="F28" s="426">
        <f>+'COMMUNITY SERV'!D29</f>
        <v>15000</v>
      </c>
      <c r="G28" s="426">
        <f>+'COMMUNITY SERV'!D40</f>
        <v>1800</v>
      </c>
      <c r="H28" s="426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</row>
    <row r="29" spans="1:21" s="372" customFormat="1" x14ac:dyDescent="0.35">
      <c r="A29" s="391" t="s">
        <v>45</v>
      </c>
      <c r="B29" s="385">
        <f>+'COMMUNITY SERV'!O51+'COMMUNITY SERV'!O61</f>
        <v>1513403.3587026161</v>
      </c>
      <c r="C29" s="427">
        <f>+C28*C27</f>
        <v>149539.68367653567</v>
      </c>
      <c r="D29" s="428">
        <f>+D28*D27</f>
        <v>289138.85804087186</v>
      </c>
      <c r="E29" s="428">
        <f>+E28*E27</f>
        <v>519770.79379988683</v>
      </c>
      <c r="F29" s="428">
        <f>+F28*F27</f>
        <v>273130.27488382225</v>
      </c>
      <c r="G29" s="428">
        <f>+G28*G27</f>
        <v>225442.39287816649</v>
      </c>
      <c r="H29" s="428"/>
      <c r="I29" s="425"/>
      <c r="J29" s="425"/>
      <c r="K29" s="425"/>
      <c r="L29" s="425"/>
      <c r="M29" s="434"/>
      <c r="N29" s="434"/>
      <c r="O29" s="434"/>
      <c r="P29" s="434"/>
      <c r="Q29" s="425"/>
      <c r="R29" s="425"/>
      <c r="S29" s="425"/>
      <c r="T29" s="370"/>
      <c r="U29" s="370"/>
    </row>
    <row r="30" spans="1:21" hidden="1" x14ac:dyDescent="0.35">
      <c r="A30" s="387"/>
      <c r="B30" s="392"/>
      <c r="J30" s="432"/>
    </row>
    <row r="31" spans="1:21" hidden="1" x14ac:dyDescent="0.35">
      <c r="A31" s="387"/>
      <c r="B31" s="392"/>
      <c r="J31" s="432"/>
    </row>
    <row r="32" spans="1:21" s="359" customFormat="1" hidden="1" x14ac:dyDescent="0.35">
      <c r="A32" s="389"/>
      <c r="B32" s="390"/>
      <c r="C32" s="430" t="str">
        <f>+'COMMUNITY SERV'!B64</f>
        <v>V0116</v>
      </c>
      <c r="D32" s="431"/>
      <c r="E32" s="431" t="str">
        <f>+'COMMUNITY SERV'!B78</f>
        <v>V0163</v>
      </c>
      <c r="F32" s="431"/>
      <c r="G32" s="431"/>
      <c r="H32" s="431" t="str">
        <f>+'COMMUNITY SERV'!B89</f>
        <v>V0165</v>
      </c>
      <c r="I32" s="431" t="str">
        <f>+'COMMUNITY SERV'!B97</f>
        <v>V0166</v>
      </c>
      <c r="J32" s="415"/>
      <c r="K32" s="415"/>
      <c r="L32" s="415"/>
      <c r="M32" s="415"/>
      <c r="N32" s="415"/>
      <c r="O32" s="415"/>
      <c r="P32" s="415"/>
      <c r="Q32" s="415"/>
      <c r="R32" s="415"/>
      <c r="S32" s="415"/>
    </row>
    <row r="33" spans="1:21" s="372" customFormat="1" hidden="1" x14ac:dyDescent="0.35">
      <c r="A33" s="391"/>
      <c r="B33" s="386"/>
      <c r="C33" s="427">
        <f>+'COMMUNITY SERV'!Q76</f>
        <v>6.5552186624425826</v>
      </c>
      <c r="D33" s="428"/>
      <c r="E33" s="428">
        <f>+'COMMUNITY SERV'!Q87</f>
        <v>6.2420482233903245</v>
      </c>
      <c r="F33" s="428"/>
      <c r="G33" s="428"/>
      <c r="H33" s="428">
        <f>+'COMMUNITY SERV'!Q95</f>
        <v>15.140100545337962</v>
      </c>
      <c r="I33" s="428">
        <f>+'COMMUNITY SERV'!Q101</f>
        <v>31.335223430399214</v>
      </c>
      <c r="J33" s="434"/>
      <c r="K33" s="434"/>
      <c r="L33" s="434"/>
      <c r="M33" s="434"/>
      <c r="N33" s="434"/>
      <c r="O33" s="434"/>
      <c r="P33" s="434"/>
      <c r="Q33" s="425"/>
      <c r="R33" s="425"/>
      <c r="S33" s="425"/>
      <c r="T33" s="370"/>
      <c r="U33" s="370"/>
    </row>
    <row r="34" spans="1:21" s="371" customFormat="1" hidden="1" x14ac:dyDescent="0.35">
      <c r="A34" s="384"/>
      <c r="B34" s="385">
        <f>+C34+D34+E34+F34+G34+H34+I34</f>
        <v>807600</v>
      </c>
      <c r="C34" s="429">
        <f>+'COMMUNITY SERV'!D76</f>
        <v>432000</v>
      </c>
      <c r="D34" s="426"/>
      <c r="E34" s="426">
        <f>+'COMMUNITY SERV'!D87</f>
        <v>177600</v>
      </c>
      <c r="F34" s="426"/>
      <c r="G34" s="426"/>
      <c r="H34" s="426">
        <f>+'COMMUNITY SERV'!D95</f>
        <v>168000</v>
      </c>
      <c r="I34" s="426">
        <f>+'COMMUNITY SERV'!D101</f>
        <v>30000</v>
      </c>
      <c r="J34" s="432"/>
      <c r="K34" s="432"/>
      <c r="L34" s="432"/>
      <c r="M34" s="432"/>
      <c r="N34" s="432"/>
      <c r="O34" s="432"/>
      <c r="P34" s="432"/>
      <c r="Q34" s="432"/>
      <c r="R34" s="432"/>
      <c r="S34" s="432"/>
    </row>
    <row r="35" spans="1:21" s="371" customFormat="1" hidden="1" x14ac:dyDescent="0.35">
      <c r="A35" s="384" t="s">
        <v>51</v>
      </c>
      <c r="B35" s="385">
        <f>+'COMMUNITY SERV'!O103</f>
        <v>7424035.8211780712</v>
      </c>
      <c r="C35" s="429">
        <f>+C34*C33</f>
        <v>2831854.4621751956</v>
      </c>
      <c r="D35" s="426"/>
      <c r="E35" s="426">
        <f>+E34*E33</f>
        <v>1108587.7644741216</v>
      </c>
      <c r="F35" s="426"/>
      <c r="G35" s="426"/>
      <c r="H35" s="426">
        <f>+H34*H33</f>
        <v>2543536.8916167775</v>
      </c>
      <c r="I35" s="426">
        <f>+I34*I33</f>
        <v>940056.70291197638</v>
      </c>
      <c r="J35" s="432"/>
      <c r="K35" s="432"/>
      <c r="L35" s="432"/>
      <c r="M35" s="432"/>
      <c r="N35" s="432"/>
      <c r="O35" s="432"/>
      <c r="P35" s="432"/>
      <c r="Q35" s="432"/>
      <c r="R35" s="432"/>
      <c r="S35" s="432"/>
    </row>
    <row r="36" spans="1:21" s="366" customFormat="1" hidden="1" x14ac:dyDescent="0.35">
      <c r="A36" s="393" t="s">
        <v>456</v>
      </c>
      <c r="B36" s="385">
        <f t="shared" ref="B36:B41" si="4">+C36+D36+E36+F36+G36+H36+I36</f>
        <v>484560</v>
      </c>
      <c r="C36" s="429">
        <f t="shared" ref="C36:I36" si="5">+C34*60%</f>
        <v>259200</v>
      </c>
      <c r="D36" s="426"/>
      <c r="E36" s="426">
        <f t="shared" si="5"/>
        <v>106560</v>
      </c>
      <c r="F36" s="426"/>
      <c r="G36" s="426"/>
      <c r="H36" s="426">
        <f t="shared" si="5"/>
        <v>100800</v>
      </c>
      <c r="I36" s="426">
        <f t="shared" si="5"/>
        <v>18000</v>
      </c>
      <c r="J36" s="422"/>
      <c r="K36" s="422"/>
      <c r="L36" s="422"/>
      <c r="M36" s="422"/>
      <c r="N36" s="422"/>
      <c r="O36" s="422"/>
      <c r="P36" s="422"/>
      <c r="Q36" s="422"/>
      <c r="R36" s="422"/>
      <c r="S36" s="422"/>
    </row>
    <row r="37" spans="1:21" x14ac:dyDescent="0.35">
      <c r="A37" s="391" t="s">
        <v>48</v>
      </c>
      <c r="B37" s="385">
        <f t="shared" si="4"/>
        <v>4454421.4927068427</v>
      </c>
      <c r="C37" s="435">
        <f t="shared" ref="C37:I37" si="6">+C35*60%</f>
        <v>1699112.6773051172</v>
      </c>
      <c r="D37" s="436"/>
      <c r="E37" s="436">
        <f t="shared" si="6"/>
        <v>665152.6586844729</v>
      </c>
      <c r="F37" s="436"/>
      <c r="G37" s="436"/>
      <c r="H37" s="436">
        <f t="shared" si="6"/>
        <v>1526122.1349700664</v>
      </c>
      <c r="I37" s="436">
        <f t="shared" si="6"/>
        <v>564034.02174718585</v>
      </c>
    </row>
    <row r="38" spans="1:21" s="366" customFormat="1" hidden="1" x14ac:dyDescent="0.35">
      <c r="A38" s="393" t="s">
        <v>53</v>
      </c>
      <c r="B38" s="385">
        <f t="shared" si="4"/>
        <v>242280</v>
      </c>
      <c r="C38" s="429">
        <f>+C34*30%</f>
        <v>129600</v>
      </c>
      <c r="D38" s="426"/>
      <c r="E38" s="426">
        <f>+E34*30%</f>
        <v>53280</v>
      </c>
      <c r="F38" s="426"/>
      <c r="G38" s="426"/>
      <c r="H38" s="426">
        <f>+H34*30%</f>
        <v>50400</v>
      </c>
      <c r="I38" s="426">
        <f>+I34*30%</f>
        <v>9000</v>
      </c>
      <c r="J38" s="422"/>
      <c r="K38" s="422"/>
      <c r="L38" s="422"/>
      <c r="M38" s="422"/>
      <c r="N38" s="422"/>
      <c r="O38" s="422"/>
      <c r="P38" s="422"/>
      <c r="Q38" s="422"/>
      <c r="R38" s="422"/>
      <c r="S38" s="422"/>
    </row>
    <row r="39" spans="1:21" x14ac:dyDescent="0.35">
      <c r="A39" s="391" t="s">
        <v>46</v>
      </c>
      <c r="B39" s="385">
        <f t="shared" si="4"/>
        <v>2227210.7463534214</v>
      </c>
      <c r="C39" s="427">
        <f>+C35*30%</f>
        <v>849556.33865255862</v>
      </c>
      <c r="D39" s="428"/>
      <c r="E39" s="428">
        <f>+E35*30%</f>
        <v>332576.32934223645</v>
      </c>
      <c r="F39" s="428"/>
      <c r="G39" s="428"/>
      <c r="H39" s="428">
        <f>+H35*30%</f>
        <v>763061.06748503319</v>
      </c>
      <c r="I39" s="428">
        <f>+I35*30%</f>
        <v>282017.01087359292</v>
      </c>
    </row>
    <row r="40" spans="1:21" s="366" customFormat="1" ht="12" hidden="1" customHeight="1" x14ac:dyDescent="0.35">
      <c r="A40" s="394" t="s">
        <v>457</v>
      </c>
      <c r="B40" s="385">
        <f t="shared" si="4"/>
        <v>80760</v>
      </c>
      <c r="C40" s="429">
        <f>+C34*10%</f>
        <v>43200</v>
      </c>
      <c r="D40" s="426"/>
      <c r="E40" s="426">
        <f>+E34*10%</f>
        <v>17760</v>
      </c>
      <c r="F40" s="426"/>
      <c r="G40" s="426"/>
      <c r="H40" s="426">
        <f>+H34*10%</f>
        <v>16800</v>
      </c>
      <c r="I40" s="426">
        <f>+I34*10%</f>
        <v>3000</v>
      </c>
      <c r="J40" s="422"/>
      <c r="K40" s="422"/>
      <c r="L40" s="422"/>
      <c r="M40" s="422"/>
      <c r="N40" s="422"/>
      <c r="O40" s="422"/>
      <c r="P40" s="422"/>
      <c r="Q40" s="422"/>
      <c r="R40" s="422"/>
      <c r="S40" s="422"/>
    </row>
    <row r="41" spans="1:21" x14ac:dyDescent="0.35">
      <c r="A41" s="391" t="s">
        <v>47</v>
      </c>
      <c r="B41" s="385">
        <f t="shared" si="4"/>
        <v>742403.58211780712</v>
      </c>
      <c r="C41" s="427">
        <f>+C35*10%</f>
        <v>283185.44621751958</v>
      </c>
      <c r="D41" s="428"/>
      <c r="E41" s="428">
        <f>+E35*10%</f>
        <v>110858.77644741216</v>
      </c>
      <c r="F41" s="428"/>
      <c r="G41" s="428"/>
      <c r="H41" s="428">
        <f>+H35*10%</f>
        <v>254353.68916167776</v>
      </c>
      <c r="I41" s="428">
        <f>+I35*10%</f>
        <v>94005.670291197646</v>
      </c>
    </row>
    <row r="42" spans="1:21" hidden="1" x14ac:dyDescent="0.35">
      <c r="A42" s="394"/>
      <c r="B42" s="388"/>
      <c r="C42" s="432"/>
      <c r="D42" s="432"/>
      <c r="E42" s="432"/>
      <c r="F42" s="432"/>
      <c r="G42" s="432"/>
      <c r="H42" s="432"/>
    </row>
    <row r="43" spans="1:21" hidden="1" x14ac:dyDescent="0.35">
      <c r="A43" s="384"/>
      <c r="B43" s="386"/>
      <c r="C43" s="430" t="str">
        <f>+EEM!B5</f>
        <v>V0167</v>
      </c>
      <c r="D43" s="431" t="str">
        <f>+EEM!B11</f>
        <v>V0168</v>
      </c>
      <c r="E43" s="431" t="str">
        <f>+EEM!B27</f>
        <v>V0169</v>
      </c>
      <c r="F43" s="431" t="str">
        <f>+EEM!B50</f>
        <v>V0124</v>
      </c>
      <c r="G43" s="431" t="str">
        <f>+EEM!B57</f>
        <v>V0125</v>
      </c>
      <c r="H43" s="431"/>
      <c r="I43" s="431" t="str">
        <f>+EEM!B64</f>
        <v>V0170</v>
      </c>
      <c r="J43" s="431" t="str">
        <f>+EEM!B71</f>
        <v>V0171</v>
      </c>
      <c r="K43" s="431"/>
      <c r="L43" s="431" t="str">
        <f>+EEM!B78</f>
        <v>V0172</v>
      </c>
    </row>
    <row r="44" spans="1:21" s="372" customFormat="1" hidden="1" x14ac:dyDescent="0.35">
      <c r="A44" s="391"/>
      <c r="B44" s="386"/>
      <c r="C44" s="427">
        <f>+EEM!Q9</f>
        <v>10.33405267707275</v>
      </c>
      <c r="D44" s="428">
        <f>+EEM!Q24</f>
        <v>18.821726751941256</v>
      </c>
      <c r="E44" s="428">
        <f>+EEM!Q48</f>
        <v>5.7203047461583045</v>
      </c>
      <c r="F44" s="428">
        <f>+EEM!Q54</f>
        <v>836.14982183612597</v>
      </c>
      <c r="G44" s="428">
        <f>+EEM!Q61</f>
        <v>1795.2830353710949</v>
      </c>
      <c r="H44" s="428"/>
      <c r="I44" s="428">
        <f>+EEM!Q69</f>
        <v>29.497719592227288</v>
      </c>
      <c r="J44" s="428">
        <f>+EEM!Q76</f>
        <v>40.964071217738436</v>
      </c>
      <c r="K44" s="428"/>
      <c r="L44" s="428">
        <f>+EEM!Q82</f>
        <v>49.94478138518123</v>
      </c>
      <c r="M44" s="434"/>
      <c r="N44" s="434"/>
      <c r="O44" s="434"/>
      <c r="P44" s="434"/>
      <c r="Q44" s="425"/>
      <c r="R44" s="425"/>
      <c r="S44" s="425"/>
      <c r="T44" s="370"/>
      <c r="U44" s="370"/>
    </row>
    <row r="45" spans="1:21" s="373" customFormat="1" hidden="1" x14ac:dyDescent="0.35">
      <c r="A45" s="391"/>
      <c r="B45" s="385">
        <f>+C45+D45+E45+F45+G45+H45+I45+J45+K45+L45</f>
        <v>655035</v>
      </c>
      <c r="C45" s="437">
        <f>+EEM!D9</f>
        <v>15000</v>
      </c>
      <c r="D45" s="438">
        <f>+EEM!D24</f>
        <v>128000</v>
      </c>
      <c r="E45" s="438">
        <f>+EEM!D48</f>
        <v>470000</v>
      </c>
      <c r="F45" s="438">
        <f>+EEM!D54</f>
        <v>10</v>
      </c>
      <c r="G45" s="438">
        <f>+EEM!D61</f>
        <v>25</v>
      </c>
      <c r="H45" s="438"/>
      <c r="I45" s="438">
        <f>+EEM!D69</f>
        <v>16000</v>
      </c>
      <c r="J45" s="438">
        <f>+EEM!D76</f>
        <v>16000</v>
      </c>
      <c r="K45" s="438"/>
      <c r="L45" s="438">
        <f>+EEM!D80</f>
        <v>10000</v>
      </c>
      <c r="M45" s="439"/>
      <c r="N45" s="439"/>
      <c r="O45" s="439"/>
      <c r="P45" s="439"/>
      <c r="Q45" s="439"/>
      <c r="R45" s="440"/>
      <c r="S45" s="440"/>
      <c r="T45" s="374"/>
      <c r="U45" s="374"/>
    </row>
    <row r="46" spans="1:21" hidden="1" x14ac:dyDescent="0.35">
      <c r="A46" s="384" t="s">
        <v>51</v>
      </c>
      <c r="B46" s="386">
        <f>+EEM!O107</f>
        <v>12655180.623840526</v>
      </c>
      <c r="C46" s="427">
        <f>+C44*C45</f>
        <v>155010.79015609124</v>
      </c>
      <c r="D46" s="428">
        <f t="shared" ref="D46:L46" si="7">+D44*D45</f>
        <v>2409181.0242484808</v>
      </c>
      <c r="E46" s="428">
        <f t="shared" si="7"/>
        <v>2688543.2306944029</v>
      </c>
      <c r="F46" s="428">
        <f t="shared" si="7"/>
        <v>8361.4982183612592</v>
      </c>
      <c r="G46" s="428">
        <f t="shared" si="7"/>
        <v>44882.075884277372</v>
      </c>
      <c r="H46" s="428"/>
      <c r="I46" s="428">
        <f t="shared" si="7"/>
        <v>471963.5134756366</v>
      </c>
      <c r="J46" s="428">
        <f t="shared" si="7"/>
        <v>655425.13948381494</v>
      </c>
      <c r="K46" s="428"/>
      <c r="L46" s="428">
        <f t="shared" si="7"/>
        <v>499447.81385181227</v>
      </c>
      <c r="O46" s="433"/>
    </row>
    <row r="47" spans="1:21" s="375" customFormat="1" hidden="1" x14ac:dyDescent="0.35">
      <c r="A47" s="395" t="s">
        <v>52</v>
      </c>
      <c r="B47" s="385">
        <f>+B45*70%</f>
        <v>458524.5</v>
      </c>
      <c r="C47" s="441">
        <f t="shared" ref="C47:J48" si="8">+C45*70%</f>
        <v>10500</v>
      </c>
      <c r="D47" s="442">
        <f t="shared" si="8"/>
        <v>89600</v>
      </c>
      <c r="E47" s="442">
        <f t="shared" si="8"/>
        <v>329000</v>
      </c>
      <c r="F47" s="442">
        <f t="shared" si="8"/>
        <v>7</v>
      </c>
      <c r="G47" s="442">
        <f t="shared" si="8"/>
        <v>17.5</v>
      </c>
      <c r="H47" s="442"/>
      <c r="I47" s="442">
        <f t="shared" si="8"/>
        <v>11200</v>
      </c>
      <c r="J47" s="442">
        <f t="shared" si="8"/>
        <v>11200</v>
      </c>
      <c r="K47" s="442"/>
      <c r="L47" s="442">
        <f>+L45*70%</f>
        <v>7000</v>
      </c>
      <c r="M47" s="443"/>
      <c r="N47" s="443"/>
      <c r="O47" s="443"/>
      <c r="P47" s="443"/>
      <c r="Q47" s="443"/>
      <c r="R47" s="443"/>
      <c r="S47" s="443"/>
    </row>
    <row r="48" spans="1:21" x14ac:dyDescent="0.35">
      <c r="A48" s="384" t="s">
        <v>49</v>
      </c>
      <c r="B48" s="386">
        <f>SUM(C48:L48)</f>
        <v>4852970.5602090135</v>
      </c>
      <c r="C48" s="441">
        <f t="shared" si="8"/>
        <v>108507.55310926387</v>
      </c>
      <c r="D48" s="442">
        <f t="shared" si="8"/>
        <v>1686426.7169739364</v>
      </c>
      <c r="E48" s="442">
        <f t="shared" si="8"/>
        <v>1881980.2614860819</v>
      </c>
      <c r="F48" s="442">
        <f t="shared" si="8"/>
        <v>5853.0487528528811</v>
      </c>
      <c r="G48" s="442">
        <f t="shared" si="8"/>
        <v>31417.453118994159</v>
      </c>
      <c r="H48" s="442"/>
      <c r="I48" s="442">
        <f t="shared" si="8"/>
        <v>330374.45943294559</v>
      </c>
      <c r="J48" s="442">
        <f t="shared" si="8"/>
        <v>458797.59763867041</v>
      </c>
      <c r="K48" s="442"/>
      <c r="L48" s="442">
        <f>+L46*70%</f>
        <v>349613.46969626856</v>
      </c>
      <c r="O48" s="439"/>
      <c r="P48" s="439"/>
      <c r="Q48" s="440"/>
    </row>
    <row r="49" spans="1:21" s="375" customFormat="1" hidden="1" x14ac:dyDescent="0.35">
      <c r="A49" s="395" t="s">
        <v>53</v>
      </c>
      <c r="B49" s="385">
        <f>+B45*30%</f>
        <v>196510.5</v>
      </c>
      <c r="C49" s="441">
        <f t="shared" ref="C49:J50" si="9">+C45*30%</f>
        <v>4500</v>
      </c>
      <c r="D49" s="442">
        <f t="shared" si="9"/>
        <v>38400</v>
      </c>
      <c r="E49" s="442">
        <f t="shared" si="9"/>
        <v>141000</v>
      </c>
      <c r="F49" s="442">
        <f t="shared" si="9"/>
        <v>3</v>
      </c>
      <c r="G49" s="442">
        <f t="shared" si="9"/>
        <v>7.5</v>
      </c>
      <c r="H49" s="442"/>
      <c r="I49" s="442">
        <f t="shared" si="9"/>
        <v>4800</v>
      </c>
      <c r="J49" s="442">
        <f t="shared" si="9"/>
        <v>4800</v>
      </c>
      <c r="K49" s="442"/>
      <c r="L49" s="442">
        <f>+L45*30%</f>
        <v>3000</v>
      </c>
      <c r="M49" s="443"/>
      <c r="N49" s="443"/>
      <c r="O49" s="443"/>
      <c r="P49" s="443"/>
      <c r="Q49" s="443"/>
      <c r="R49" s="443"/>
      <c r="S49" s="443"/>
    </row>
    <row r="50" spans="1:21" x14ac:dyDescent="0.35">
      <c r="A50" s="384" t="s">
        <v>50</v>
      </c>
      <c r="B50" s="386">
        <f>SUM(C50:L50)</f>
        <v>2079844.5258038628</v>
      </c>
      <c r="C50" s="441">
        <f t="shared" si="9"/>
        <v>46503.237046827373</v>
      </c>
      <c r="D50" s="442">
        <f t="shared" si="9"/>
        <v>722754.30727454426</v>
      </c>
      <c r="E50" s="442">
        <f t="shared" si="9"/>
        <v>806562.96920832084</v>
      </c>
      <c r="F50" s="442">
        <f t="shared" si="9"/>
        <v>2508.4494655083777</v>
      </c>
      <c r="G50" s="442">
        <f t="shared" si="9"/>
        <v>13464.622765283211</v>
      </c>
      <c r="H50" s="442"/>
      <c r="I50" s="442">
        <f t="shared" si="9"/>
        <v>141589.05404269099</v>
      </c>
      <c r="J50" s="442">
        <f t="shared" si="9"/>
        <v>196627.54184514447</v>
      </c>
      <c r="K50" s="442"/>
      <c r="L50" s="442">
        <f>+L46*30%</f>
        <v>149834.34415554369</v>
      </c>
    </row>
    <row r="51" spans="1:21" hidden="1" x14ac:dyDescent="0.35">
      <c r="A51" s="387"/>
      <c r="B51" s="388"/>
      <c r="H51" s="433"/>
    </row>
    <row r="52" spans="1:21" s="359" customFormat="1" hidden="1" x14ac:dyDescent="0.35">
      <c r="A52" s="389"/>
      <c r="B52" s="390"/>
      <c r="C52" s="430" t="str">
        <f>+CEM!B11</f>
        <v>V0174</v>
      </c>
      <c r="D52" s="431" t="str">
        <f>+CEM!B18</f>
        <v>V0175</v>
      </c>
      <c r="E52" s="431" t="str">
        <f>+CEM!B25</f>
        <v>V0176</v>
      </c>
      <c r="F52" s="431" t="str">
        <f>+CEM!B33</f>
        <v>V0177</v>
      </c>
      <c r="G52" s="431" t="str">
        <f>+CEM!B38</f>
        <v>V0178</v>
      </c>
      <c r="H52" s="431" t="str">
        <f>+CEM!B43</f>
        <v>V0179</v>
      </c>
      <c r="I52" s="431" t="str">
        <f>+CEM!B51</f>
        <v>V0151</v>
      </c>
      <c r="J52" s="431" t="str">
        <f>+CEM!B60</f>
        <v>V0180</v>
      </c>
      <c r="K52" s="431" t="str">
        <f>+CEM!B66</f>
        <v>V0181</v>
      </c>
      <c r="L52" s="431" t="str">
        <f>+CEM!B72</f>
        <v>V0182</v>
      </c>
      <c r="M52" s="431" t="str">
        <f>+CEM!B78</f>
        <v>V0183</v>
      </c>
      <c r="N52" s="431" t="str">
        <f>+CEM!B87</f>
        <v>V0134</v>
      </c>
      <c r="O52" s="431" t="str">
        <f>+CEM!B109</f>
        <v>V0135</v>
      </c>
      <c r="P52" s="415"/>
      <c r="Q52" s="415"/>
      <c r="R52" s="415"/>
      <c r="S52" s="415"/>
    </row>
    <row r="53" spans="1:21" s="372" customFormat="1" hidden="1" x14ac:dyDescent="0.35">
      <c r="A53" s="391"/>
      <c r="B53" s="386"/>
      <c r="C53" s="427">
        <f>+CEM!Q16</f>
        <v>5.1568897870315622</v>
      </c>
      <c r="D53" s="428">
        <f>+CEM!Q23</f>
        <v>8.5115595297215592</v>
      </c>
      <c r="E53" s="428">
        <f>+CEM!Q31</f>
        <v>20.747658753985018</v>
      </c>
      <c r="F53" s="428">
        <f>+CEM!Q36</f>
        <v>34.843747238292018</v>
      </c>
      <c r="G53" s="428">
        <f>+CEM!Q41</f>
        <v>26.023549993078944</v>
      </c>
      <c r="H53" s="428">
        <f>+CEM!Q48</f>
        <v>28.583863679885887</v>
      </c>
      <c r="I53" s="428">
        <f>+CEM!Q58</f>
        <v>1488.0004988014525</v>
      </c>
      <c r="J53" s="428">
        <f>+CEM!Q64</f>
        <v>375.82741014481536</v>
      </c>
      <c r="K53" s="428">
        <f>+CEM!Q70</f>
        <v>721.34198301698086</v>
      </c>
      <c r="L53" s="428">
        <f>+CEM!Q76</f>
        <v>32.617708084301761</v>
      </c>
      <c r="M53" s="428">
        <f>+CEM!Q84</f>
        <v>21.750526015197014</v>
      </c>
      <c r="N53" s="428">
        <f>+CEM!Q104</f>
        <v>140.79152096196827</v>
      </c>
      <c r="O53" s="428">
        <f>+CEM!Q114</f>
        <v>197.60064627428667</v>
      </c>
      <c r="P53" s="434"/>
      <c r="Q53" s="425"/>
      <c r="R53" s="425"/>
      <c r="S53" s="425"/>
      <c r="T53" s="370"/>
      <c r="U53" s="370"/>
    </row>
    <row r="54" spans="1:21" s="366" customFormat="1" hidden="1" x14ac:dyDescent="0.35">
      <c r="A54" s="384"/>
      <c r="B54" s="385">
        <f>+C54+D54+E54+F54+G54+H54+I54+J54+K54+L54+M54+N54+O54</f>
        <v>308635</v>
      </c>
      <c r="C54" s="429">
        <f>+CEM!D16</f>
        <v>113700</v>
      </c>
      <c r="D54" s="426">
        <f>+CEM!D20+CEM!D21</f>
        <v>40000</v>
      </c>
      <c r="E54" s="426">
        <f>+CEM!D27+CEM!D28+CEM!D30</f>
        <v>33000</v>
      </c>
      <c r="F54" s="426">
        <f>+CEM!D36</f>
        <v>10000</v>
      </c>
      <c r="G54" s="426">
        <f>+CEM!D41</f>
        <v>20000</v>
      </c>
      <c r="H54" s="426">
        <f>+CEM!D48</f>
        <v>30000</v>
      </c>
      <c r="I54" s="426">
        <f>+CEM!D58</f>
        <v>3000</v>
      </c>
      <c r="J54" s="426">
        <f>+CEM!D64</f>
        <v>2000</v>
      </c>
      <c r="K54" s="426">
        <f>+CEM!D70</f>
        <v>1200</v>
      </c>
      <c r="L54" s="426">
        <f>+CEM!D76</f>
        <v>15000</v>
      </c>
      <c r="M54" s="426">
        <f>+CEM!D84</f>
        <v>40000</v>
      </c>
      <c r="N54" s="426">
        <f>+CEM!D104</f>
        <v>475</v>
      </c>
      <c r="O54" s="426">
        <f>+CEM!D114</f>
        <v>260</v>
      </c>
      <c r="P54" s="422"/>
      <c r="Q54" s="422"/>
      <c r="R54" s="422"/>
      <c r="S54" s="422"/>
    </row>
    <row r="55" spans="1:21" x14ac:dyDescent="0.35">
      <c r="A55" s="384" t="s">
        <v>54</v>
      </c>
      <c r="B55" s="386">
        <f>+CEM!O126</f>
        <v>10834806.322971418</v>
      </c>
      <c r="C55" s="427">
        <f t="shared" ref="C55:H55" si="10">+C53*C54</f>
        <v>586338.36878548865</v>
      </c>
      <c r="D55" s="428">
        <f t="shared" si="10"/>
        <v>340462.38118886237</v>
      </c>
      <c r="E55" s="428">
        <f t="shared" si="10"/>
        <v>684672.73888150556</v>
      </c>
      <c r="F55" s="428">
        <f t="shared" si="10"/>
        <v>348437.47238292015</v>
      </c>
      <c r="G55" s="428">
        <f t="shared" si="10"/>
        <v>520470.99986157886</v>
      </c>
      <c r="H55" s="428">
        <f t="shared" si="10"/>
        <v>857515.91039657663</v>
      </c>
      <c r="I55" s="428">
        <f>I54*I53</f>
        <v>4464001.4964043573</v>
      </c>
      <c r="J55" s="428">
        <f t="shared" ref="J55:O55" si="11">+J53*J54</f>
        <v>751654.82028963068</v>
      </c>
      <c r="K55" s="428">
        <f t="shared" si="11"/>
        <v>865610.37962037709</v>
      </c>
      <c r="L55" s="428">
        <f t="shared" si="11"/>
        <v>489265.62126452639</v>
      </c>
      <c r="M55" s="428">
        <f t="shared" si="11"/>
        <v>870021.04060788057</v>
      </c>
      <c r="N55" s="428">
        <f t="shared" si="11"/>
        <v>66875.972456934935</v>
      </c>
      <c r="O55" s="428">
        <f t="shared" si="11"/>
        <v>51376.168031314533</v>
      </c>
      <c r="Q55" s="425"/>
      <c r="R55" s="425"/>
      <c r="S55" s="425"/>
      <c r="T55" s="370"/>
      <c r="U55" s="370"/>
    </row>
    <row r="56" spans="1:21" hidden="1" x14ac:dyDescent="0.35">
      <c r="A56" s="387"/>
      <c r="B56" s="388"/>
    </row>
    <row r="57" spans="1:21" s="359" customFormat="1" hidden="1" x14ac:dyDescent="0.35">
      <c r="A57" s="389"/>
      <c r="B57" s="390"/>
      <c r="C57" s="430" t="str">
        <f>+CEM!B128</f>
        <v>V0139</v>
      </c>
      <c r="D57" s="431" t="str">
        <f>+CEM!B5</f>
        <v>V0173</v>
      </c>
      <c r="E57" s="431" t="str">
        <f>+CEM!B18</f>
        <v>V0175</v>
      </c>
      <c r="F57" s="431" t="str">
        <f>+CEM!B25</f>
        <v>V0176</v>
      </c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</row>
    <row r="58" spans="1:21" hidden="1" x14ac:dyDescent="0.35">
      <c r="A58" s="384"/>
      <c r="B58" s="386"/>
      <c r="C58" s="427">
        <f>+CEM!Q131</f>
        <v>75.721566138251603</v>
      </c>
      <c r="D58" s="428">
        <f>+CEM!Q9</f>
        <v>6.7334645533161428</v>
      </c>
      <c r="E58" s="428">
        <f>+CEM!Q23</f>
        <v>8.5115595297215592</v>
      </c>
      <c r="F58" s="428">
        <f>+CEM!Q31</f>
        <v>20.747658753985018</v>
      </c>
    </row>
    <row r="59" spans="1:21" s="366" customFormat="1" hidden="1" x14ac:dyDescent="0.35">
      <c r="A59" s="384"/>
      <c r="B59" s="385">
        <f>+C59+D59+E59+F59</f>
        <v>68100</v>
      </c>
      <c r="C59" s="429">
        <f>+CEM!D131</f>
        <v>100</v>
      </c>
      <c r="D59" s="426">
        <f>+CEM!D9</f>
        <v>50000</v>
      </c>
      <c r="E59" s="426">
        <f>+CEM!D22</f>
        <v>10000</v>
      </c>
      <c r="F59" s="426">
        <f>+CEM!D29</f>
        <v>8000</v>
      </c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</row>
    <row r="60" spans="1:21" x14ac:dyDescent="0.35">
      <c r="A60" s="384" t="s">
        <v>55</v>
      </c>
      <c r="B60" s="386">
        <f>+CEM!O133</f>
        <v>665523.98949883436</v>
      </c>
      <c r="C60" s="427">
        <f>+C59*C58</f>
        <v>7572.1566138251601</v>
      </c>
      <c r="D60" s="428">
        <f>+D59*D58</f>
        <v>336673.22766580712</v>
      </c>
      <c r="E60" s="428">
        <f>+E59*E58</f>
        <v>85115.595297215594</v>
      </c>
      <c r="F60" s="428">
        <f>+F59*F58</f>
        <v>165981.27003188015</v>
      </c>
      <c r="O60" s="433"/>
      <c r="Q60" s="433"/>
    </row>
    <row r="61" spans="1:21" hidden="1" x14ac:dyDescent="0.35">
      <c r="A61" s="387"/>
      <c r="B61" s="388"/>
    </row>
    <row r="62" spans="1:21" s="359" customFormat="1" hidden="1" x14ac:dyDescent="0.35">
      <c r="A62" s="389"/>
      <c r="B62" s="390"/>
      <c r="C62" s="430" t="str">
        <f>+MDC!B5</f>
        <v>V0184</v>
      </c>
      <c r="D62" s="431" t="str">
        <f>+MDC!B20</f>
        <v>V0185</v>
      </c>
      <c r="E62" s="431" t="str">
        <f>+MDC!B27</f>
        <v>V0186</v>
      </c>
      <c r="F62" s="431" t="str">
        <f>+MDC!B32</f>
        <v>V0187</v>
      </c>
      <c r="G62" s="431" t="str">
        <f>+MDC!B37</f>
        <v>V0188</v>
      </c>
      <c r="H62" s="431" t="str">
        <f>+MDC!B42</f>
        <v>V0189</v>
      </c>
      <c r="I62" s="431" t="str">
        <f>+MDC!B48</f>
        <v>V0143</v>
      </c>
      <c r="J62" s="431" t="str">
        <f>+MDC!B54</f>
        <v>V0144</v>
      </c>
      <c r="K62" s="431" t="str">
        <f>+MDC!B60</f>
        <v>V0145</v>
      </c>
      <c r="L62" s="431" t="str">
        <f>+MDC!B75</f>
        <v>V0148</v>
      </c>
      <c r="M62" s="431" t="str">
        <f>+MDC!B81</f>
        <v>V0149</v>
      </c>
      <c r="N62" s="415"/>
      <c r="O62" s="415"/>
      <c r="P62" s="415"/>
      <c r="Q62" s="415"/>
      <c r="R62" s="415"/>
      <c r="S62" s="415"/>
    </row>
    <row r="63" spans="1:21" s="376" customFormat="1" hidden="1" x14ac:dyDescent="0.35">
      <c r="A63" s="396"/>
      <c r="B63" s="397"/>
      <c r="C63" s="427">
        <f>+MDC!Q18</f>
        <v>7.1656464353588172</v>
      </c>
      <c r="D63" s="428">
        <f>+MDC!Q25</f>
        <v>8.3361158661094219</v>
      </c>
      <c r="E63" s="428">
        <f>+MDC!Q30</f>
        <v>20.674278735698579</v>
      </c>
      <c r="F63" s="428">
        <f>+MDC!Q35</f>
        <v>28.647841625768269</v>
      </c>
      <c r="G63" s="428">
        <f>+MDC!Q40</f>
        <v>23.532770515067167</v>
      </c>
      <c r="H63" s="428">
        <f>+MDC!Q45</f>
        <v>21.182184767860132</v>
      </c>
      <c r="I63" s="428" t="e">
        <f>+MDC!Q52</f>
        <v>#DIV/0!</v>
      </c>
      <c r="J63" s="428">
        <f>+MDC!Q58</f>
        <v>54.508218970700476</v>
      </c>
      <c r="K63" s="428">
        <f>+MDC!Q64</f>
        <v>25.677720316471433</v>
      </c>
      <c r="L63" s="428">
        <f>+MDC!Q79</f>
        <v>11.516609280415588</v>
      </c>
      <c r="M63" s="428">
        <f>+MDC!Q85</f>
        <v>29.590258116072764</v>
      </c>
      <c r="N63" s="444"/>
      <c r="O63" s="444"/>
      <c r="P63" s="444"/>
      <c r="Q63" s="445"/>
      <c r="R63" s="445"/>
      <c r="S63" s="445"/>
      <c r="T63" s="377"/>
      <c r="U63" s="377"/>
    </row>
    <row r="64" spans="1:21" s="378" customFormat="1" hidden="1" x14ac:dyDescent="0.35">
      <c r="A64" s="398"/>
      <c r="B64" s="399">
        <f>+C64+D64+E64+F64+G64+H64+I64+J64+K64+L64+M64</f>
        <v>441300</v>
      </c>
      <c r="C64" s="446">
        <f>+C66+C68+C70</f>
        <v>216000</v>
      </c>
      <c r="D64" s="447">
        <f t="shared" ref="D64:K64" si="12">+D66+D68+D70</f>
        <v>45000</v>
      </c>
      <c r="E64" s="447">
        <f t="shared" si="12"/>
        <v>15000</v>
      </c>
      <c r="F64" s="447">
        <f t="shared" si="12"/>
        <v>15000</v>
      </c>
      <c r="G64" s="447">
        <f t="shared" si="12"/>
        <v>25000</v>
      </c>
      <c r="H64" s="447">
        <f t="shared" si="12"/>
        <v>35000</v>
      </c>
      <c r="I64" s="447">
        <f t="shared" si="12"/>
        <v>0</v>
      </c>
      <c r="J64" s="447">
        <f t="shared" si="12"/>
        <v>300</v>
      </c>
      <c r="K64" s="447">
        <f t="shared" si="12"/>
        <v>25000</v>
      </c>
      <c r="L64" s="447">
        <f>+L66+L68+L70</f>
        <v>35000</v>
      </c>
      <c r="M64" s="447">
        <f>+M66+M68+M70</f>
        <v>30000</v>
      </c>
      <c r="N64" s="448"/>
      <c r="O64" s="448"/>
      <c r="P64" s="448"/>
      <c r="Q64" s="448"/>
      <c r="R64" s="448"/>
      <c r="S64" s="448"/>
    </row>
    <row r="65" spans="1:47" s="379" customFormat="1" hidden="1" x14ac:dyDescent="0.35">
      <c r="A65" s="398" t="s">
        <v>59</v>
      </c>
      <c r="B65" s="399" t="e">
        <f>+C65+D65+E65+F65+G65+H65+I65+J65+K65+L65+M65</f>
        <v>#DIV/0!</v>
      </c>
      <c r="C65" s="449">
        <f>+C67+C69+C71</f>
        <v>1547779.6300375045</v>
      </c>
      <c r="D65" s="450">
        <f t="shared" ref="D65:K65" si="13">+D67+D69+D71</f>
        <v>375125.213974924</v>
      </c>
      <c r="E65" s="450">
        <f t="shared" si="13"/>
        <v>310114.18103547866</v>
      </c>
      <c r="F65" s="450">
        <f t="shared" si="13"/>
        <v>429717.62438652402</v>
      </c>
      <c r="G65" s="450">
        <f t="shared" si="13"/>
        <v>588319.26287667919</v>
      </c>
      <c r="H65" s="450">
        <f t="shared" si="13"/>
        <v>741376.46687510458</v>
      </c>
      <c r="I65" s="450" t="e">
        <f t="shared" si="13"/>
        <v>#DIV/0!</v>
      </c>
      <c r="J65" s="450">
        <f t="shared" si="13"/>
        <v>16352.465691210144</v>
      </c>
      <c r="K65" s="450">
        <f t="shared" si="13"/>
        <v>641943.00791178585</v>
      </c>
      <c r="L65" s="450">
        <f>+L67+L69+L71</f>
        <v>403081.32481454557</v>
      </c>
      <c r="M65" s="450">
        <f>+M67+M69+M71</f>
        <v>887707.74348218297</v>
      </c>
      <c r="N65" s="451"/>
      <c r="O65" s="451"/>
      <c r="P65" s="451"/>
      <c r="Q65" s="451"/>
      <c r="R65" s="451"/>
      <c r="S65" s="451"/>
    </row>
    <row r="66" spans="1:47" s="366" customFormat="1" hidden="1" x14ac:dyDescent="0.35">
      <c r="A66" s="384"/>
      <c r="B66" s="385">
        <f t="shared" ref="B66:B71" si="14">+C66+D66+E66+F66+G66+H66+I66+J66+K66+L66+M66</f>
        <v>293000</v>
      </c>
      <c r="C66" s="429">
        <f>+MDC!D7+MDC!D8+MDC!D9+MDC!D13+MDC!D14+MDC!D15</f>
        <v>128000</v>
      </c>
      <c r="D66" s="426">
        <f>+MDC!D25</f>
        <v>45000</v>
      </c>
      <c r="E66" s="426">
        <f>+MDC!D30</f>
        <v>15000</v>
      </c>
      <c r="F66" s="426">
        <f>+MDC!D35</f>
        <v>15000</v>
      </c>
      <c r="G66" s="426"/>
      <c r="H66" s="426">
        <f>+MDC!D45</f>
        <v>35000</v>
      </c>
      <c r="I66" s="426">
        <f>+MDC!D52</f>
        <v>0</v>
      </c>
      <c r="J66" s="426"/>
      <c r="K66" s="426">
        <f>+MDC!D64</f>
        <v>25000</v>
      </c>
      <c r="L66" s="426"/>
      <c r="M66" s="426">
        <f>+MDC!D85</f>
        <v>30000</v>
      </c>
      <c r="N66" s="422"/>
      <c r="O66" s="422"/>
      <c r="P66" s="422"/>
      <c r="Q66" s="422"/>
      <c r="R66" s="422"/>
      <c r="S66" s="422"/>
    </row>
    <row r="67" spans="1:47" x14ac:dyDescent="0.35">
      <c r="A67" s="384" t="s">
        <v>56</v>
      </c>
      <c r="B67" s="386" t="e">
        <f t="shared" si="14"/>
        <v>#DIV/0!</v>
      </c>
      <c r="C67" s="427">
        <f>+C66*C63</f>
        <v>917202.74372592859</v>
      </c>
      <c r="D67" s="428">
        <f>+D66*D63</f>
        <v>375125.213974924</v>
      </c>
      <c r="E67" s="428">
        <f>+E66*E63</f>
        <v>310114.18103547866</v>
      </c>
      <c r="F67" s="428">
        <f>+F66*F63</f>
        <v>429717.62438652402</v>
      </c>
      <c r="G67" s="428"/>
      <c r="H67" s="428">
        <f>+H66*H63</f>
        <v>741376.46687510458</v>
      </c>
      <c r="I67" s="428" t="e">
        <f>+I66*I63</f>
        <v>#DIV/0!</v>
      </c>
      <c r="J67" s="428"/>
      <c r="K67" s="428">
        <f>+K66*K63</f>
        <v>641943.00791178585</v>
      </c>
      <c r="L67" s="428">
        <f>+L66*L63</f>
        <v>0</v>
      </c>
      <c r="M67" s="428">
        <f>+M66*M63</f>
        <v>887707.74348218297</v>
      </c>
    </row>
    <row r="68" spans="1:47" s="366" customFormat="1" hidden="1" x14ac:dyDescent="0.35">
      <c r="A68" s="384"/>
      <c r="B68" s="385">
        <f>+C68+D68+E68+F68+G68+H68+I68+J68+K68+L68+M68</f>
        <v>60000</v>
      </c>
      <c r="C68" s="429">
        <f>+MDC!D9+MDC!D10</f>
        <v>60000</v>
      </c>
      <c r="D68" s="426"/>
      <c r="E68" s="426"/>
      <c r="F68" s="426"/>
      <c r="G68" s="426"/>
      <c r="H68" s="426"/>
      <c r="I68" s="426"/>
      <c r="J68" s="426"/>
      <c r="K68" s="426"/>
      <c r="L68" s="426"/>
      <c r="M68" s="426"/>
      <c r="N68" s="422"/>
      <c r="O68" s="422"/>
      <c r="P68" s="422"/>
      <c r="Q68" s="422"/>
      <c r="R68" s="422"/>
      <c r="S68" s="422"/>
    </row>
    <row r="69" spans="1:47" x14ac:dyDescent="0.35">
      <c r="A69" s="384" t="s">
        <v>57</v>
      </c>
      <c r="B69" s="386" t="e">
        <f>+C69+D69+E69+F69+G69+H69+I69+J69+K69+L69+M69</f>
        <v>#DIV/0!</v>
      </c>
      <c r="C69" s="427">
        <f>+C68*C63</f>
        <v>429938.786121529</v>
      </c>
      <c r="D69" s="428">
        <f t="shared" ref="D69:M69" si="15">+D68*D63</f>
        <v>0</v>
      </c>
      <c r="E69" s="428">
        <f t="shared" si="15"/>
        <v>0</v>
      </c>
      <c r="F69" s="428">
        <f t="shared" si="15"/>
        <v>0</v>
      </c>
      <c r="G69" s="428">
        <f t="shared" si="15"/>
        <v>0</v>
      </c>
      <c r="H69" s="428">
        <f t="shared" si="15"/>
        <v>0</v>
      </c>
      <c r="I69" s="428" t="e">
        <f t="shared" si="15"/>
        <v>#DIV/0!</v>
      </c>
      <c r="J69" s="428">
        <f t="shared" si="15"/>
        <v>0</v>
      </c>
      <c r="K69" s="428">
        <f t="shared" si="15"/>
        <v>0</v>
      </c>
      <c r="L69" s="428">
        <f t="shared" si="15"/>
        <v>0</v>
      </c>
      <c r="M69" s="428">
        <f t="shared" si="15"/>
        <v>0</v>
      </c>
    </row>
    <row r="70" spans="1:47" s="366" customFormat="1" hidden="1" x14ac:dyDescent="0.35">
      <c r="A70" s="384"/>
      <c r="B70" s="385">
        <f>+C70+D70+E70+F70+G70+H70+I70+J70+K70+L70+M70</f>
        <v>88300</v>
      </c>
      <c r="C70" s="429">
        <f>+MDC!D12+MDC!D13</f>
        <v>28000</v>
      </c>
      <c r="D70" s="426"/>
      <c r="E70" s="426"/>
      <c r="F70" s="426"/>
      <c r="G70" s="426">
        <f>+MDC!D40</f>
        <v>25000</v>
      </c>
      <c r="H70" s="426"/>
      <c r="I70" s="426"/>
      <c r="J70" s="426">
        <f>+MDC!D58</f>
        <v>300</v>
      </c>
      <c r="K70" s="426"/>
      <c r="L70" s="426">
        <f>+MDC!D79</f>
        <v>35000</v>
      </c>
      <c r="M70" s="426"/>
      <c r="N70" s="422"/>
      <c r="O70" s="422"/>
      <c r="P70" s="422"/>
      <c r="Q70" s="422"/>
      <c r="R70" s="422"/>
      <c r="S70" s="422"/>
    </row>
    <row r="71" spans="1:47" ht="16" thickBot="1" x14ac:dyDescent="0.4">
      <c r="A71" s="400" t="s">
        <v>58</v>
      </c>
      <c r="B71" s="401" t="e">
        <f t="shared" si="14"/>
        <v>#DIV/0!</v>
      </c>
      <c r="C71" s="427">
        <f>+C70*C63</f>
        <v>200638.10019004688</v>
      </c>
      <c r="D71" s="428">
        <f t="shared" ref="D71:M71" si="16">+D70*D63</f>
        <v>0</v>
      </c>
      <c r="E71" s="428">
        <f t="shared" si="16"/>
        <v>0</v>
      </c>
      <c r="F71" s="428">
        <f t="shared" si="16"/>
        <v>0</v>
      </c>
      <c r="G71" s="428">
        <f t="shared" si="16"/>
        <v>588319.26287667919</v>
      </c>
      <c r="H71" s="428">
        <f t="shared" si="16"/>
        <v>0</v>
      </c>
      <c r="I71" s="428" t="e">
        <f t="shared" si="16"/>
        <v>#DIV/0!</v>
      </c>
      <c r="J71" s="428">
        <f t="shared" si="16"/>
        <v>16352.465691210144</v>
      </c>
      <c r="K71" s="428">
        <f t="shared" si="16"/>
        <v>0</v>
      </c>
      <c r="L71" s="428">
        <f t="shared" si="16"/>
        <v>403081.32481454557</v>
      </c>
      <c r="M71" s="428">
        <f t="shared" si="16"/>
        <v>0</v>
      </c>
    </row>
    <row r="72" spans="1:47" ht="16" thickBot="1" x14ac:dyDescent="0.4">
      <c r="B72" s="370"/>
      <c r="C72" s="425"/>
      <c r="D72" s="425"/>
      <c r="E72" s="425"/>
      <c r="F72" s="425"/>
      <c r="G72" s="425"/>
      <c r="H72" s="425"/>
      <c r="I72" s="425"/>
      <c r="J72" s="425"/>
      <c r="K72" s="425"/>
      <c r="L72" s="425"/>
    </row>
    <row r="73" spans="1:47" x14ac:dyDescent="0.35">
      <c r="A73" s="402" t="s">
        <v>60</v>
      </c>
      <c r="B73" s="403">
        <f>+B6+B17+B22+B24+B29+B35+B46+B55+B60</f>
        <v>34891945.818619065</v>
      </c>
      <c r="C73" s="452"/>
      <c r="E73" s="433"/>
      <c r="T73" s="370"/>
      <c r="X73" s="360" t="s">
        <v>60</v>
      </c>
      <c r="Y73" s="462">
        <v>25419072.447204184</v>
      </c>
      <c r="Z73" s="462"/>
      <c r="AA73" s="462">
        <f>Y73*1.06</f>
        <v>26944216.794036437</v>
      </c>
      <c r="AB73" s="462"/>
      <c r="AU73" s="360">
        <v>26944216.794036437</v>
      </c>
    </row>
    <row r="74" spans="1:47" x14ac:dyDescent="0.35">
      <c r="A74" s="404" t="s">
        <v>61</v>
      </c>
      <c r="B74" s="405" t="e">
        <f>+B65</f>
        <v>#DIV/0!</v>
      </c>
      <c r="D74" s="432">
        <f>1232205+157063+345596+6586391+5585610+8695689</f>
        <v>22602554</v>
      </c>
      <c r="E74" s="432"/>
      <c r="G74" s="416">
        <f>CEM!O146</f>
        <v>24892065.836016458</v>
      </c>
      <c r="T74" s="370"/>
      <c r="X74" s="360" t="s">
        <v>61</v>
      </c>
      <c r="Y74" s="462">
        <v>4533523.8307336112</v>
      </c>
      <c r="Z74" s="462"/>
      <c r="AA74" s="462">
        <f>Y74*1.06</f>
        <v>4805535.2605776284</v>
      </c>
      <c r="AB74" s="462"/>
      <c r="AU74" s="360">
        <v>4805535.2605776284</v>
      </c>
    </row>
    <row r="75" spans="1:47" x14ac:dyDescent="0.35">
      <c r="A75" s="404"/>
      <c r="B75" s="405"/>
      <c r="T75" s="370">
        <v>26361478.780000001</v>
      </c>
      <c r="Y75" s="462"/>
      <c r="Z75" s="462"/>
      <c r="AA75" s="462"/>
      <c r="AB75" s="462"/>
      <c r="AQ75" s="360">
        <v>26361478.780000001</v>
      </c>
    </row>
    <row r="76" spans="1:47" ht="16" thickBot="1" x14ac:dyDescent="0.4">
      <c r="A76" s="406" t="s">
        <v>62</v>
      </c>
      <c r="B76" s="407" t="e">
        <f>SUM(B73:B75)</f>
        <v>#DIV/0!</v>
      </c>
      <c r="C76" s="434">
        <v>26176165</v>
      </c>
      <c r="E76" s="453"/>
      <c r="F76" s="416">
        <f>CEM!O148</f>
        <v>62322514.95002301</v>
      </c>
      <c r="G76" s="453" t="e">
        <f>B76-F76</f>
        <v>#DIV/0!</v>
      </c>
      <c r="T76" s="370">
        <f>26361478.78*4.5%</f>
        <v>1186266.5451</v>
      </c>
      <c r="V76" s="461" t="e">
        <f>+B76*5%</f>
        <v>#DIV/0!</v>
      </c>
      <c r="X76" s="360" t="s">
        <v>62</v>
      </c>
      <c r="Y76" s="462">
        <v>29952596.277937796</v>
      </c>
      <c r="Z76" s="462">
        <v>26176165</v>
      </c>
      <c r="AA76" s="462">
        <f>SUM(AA73:AA74)</f>
        <v>31749752.054614067</v>
      </c>
      <c r="AB76" s="462">
        <f>CEM!O148</f>
        <v>62322514.95002301</v>
      </c>
      <c r="AQ76" s="360">
        <v>1186266.5451</v>
      </c>
      <c r="AS76" s="360">
        <v>1497629.8138968898</v>
      </c>
      <c r="AU76" s="360">
        <v>31749752.054614067</v>
      </c>
    </row>
    <row r="77" spans="1:47" x14ac:dyDescent="0.35">
      <c r="B77" s="461" t="e">
        <f>+B76</f>
        <v>#DIV/0!</v>
      </c>
      <c r="C77" s="434" t="e">
        <f>+C76-B76</f>
        <v>#DIV/0!</v>
      </c>
      <c r="T77" s="370">
        <f>SUM(T75:T76)</f>
        <v>27547745.325100001</v>
      </c>
      <c r="V77" s="461">
        <f>26176165.5+1308808.27</f>
        <v>27484973.77</v>
      </c>
      <c r="Y77" s="462">
        <v>29952596.277937796</v>
      </c>
      <c r="Z77" s="462">
        <v>-3776431.277937796</v>
      </c>
      <c r="AA77" s="462"/>
      <c r="AB77" s="462">
        <f>AA76-AB76</f>
        <v>-30572762.895408943</v>
      </c>
      <c r="AQ77" s="360">
        <v>27547745.325100001</v>
      </c>
      <c r="AS77" s="360">
        <v>27484973.77</v>
      </c>
    </row>
    <row r="78" spans="1:47" x14ac:dyDescent="0.35">
      <c r="B78" s="372">
        <f>+V77</f>
        <v>27484973.77</v>
      </c>
      <c r="C78" s="454"/>
      <c r="T78" s="370"/>
      <c r="Y78" s="462">
        <v>27484973.77</v>
      </c>
      <c r="Z78" s="462"/>
      <c r="AA78" s="462"/>
      <c r="AB78" s="462"/>
    </row>
    <row r="79" spans="1:47" x14ac:dyDescent="0.35">
      <c r="B79" s="372" t="e">
        <f>+B78-B77</f>
        <v>#DIV/0!</v>
      </c>
      <c r="T79" s="370" t="e">
        <f>+T77-B76</f>
        <v>#DIV/0!</v>
      </c>
      <c r="Y79" s="462">
        <v>-2467622.5079377964</v>
      </c>
      <c r="Z79" s="462"/>
      <c r="AA79" s="462"/>
      <c r="AB79" s="462"/>
      <c r="AQ79" s="360">
        <v>-2404850.952837795</v>
      </c>
    </row>
    <row r="80" spans="1:47" x14ac:dyDescent="0.35">
      <c r="B80" s="372"/>
    </row>
  </sheetData>
  <customSheetViews>
    <customSheetView guid="{6C0BD6A7-6718-429D-82D9-D2FE0341EA2C}" showPageBreaks="1" printArea="1" hiddenRows="1" hiddenColumns="1" topLeftCell="A39">
      <selection activeCell="A74" sqref="A74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Rows="1" hiddenColumns="1">
      <selection activeCell="W39" sqref="W39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Rows="1" hiddenColumns="1">
      <selection activeCell="B1" sqref="B1"/>
      <pageMargins left="0" right="0" top="0" bottom="0" header="0.31496062992125984" footer="0.31496062992125984"/>
      <pageSetup paperSize="9" scale="85" orientation="landscape" r:id="rId3"/>
      <headerFooter alignWithMargins="0"/>
    </customSheetView>
  </customSheetViews>
  <phoneticPr fontId="0" type="noConversion"/>
  <pageMargins left="0" right="0" top="0" bottom="0" header="0.31496062992125984" footer="0.31496062992125984"/>
  <pageSetup paperSize="9" scale="85" orientation="landscape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G29"/>
  <sheetViews>
    <sheetView workbookViewId="0">
      <selection activeCell="B16" sqref="B16"/>
    </sheetView>
  </sheetViews>
  <sheetFormatPr defaultColWidth="9.1796875" defaultRowHeight="10.5" x14ac:dyDescent="0.25"/>
  <cols>
    <col min="1" max="1" width="20.26953125" style="2" bestFit="1" customWidth="1"/>
    <col min="2" max="2" width="11.7265625" style="11" bestFit="1" customWidth="1"/>
    <col min="3" max="3" width="12.453125" style="11" bestFit="1" customWidth="1"/>
    <col min="4" max="5" width="9.1796875" style="11"/>
    <col min="6" max="6" width="24.81640625" style="11" bestFit="1" customWidth="1"/>
    <col min="7" max="16384" width="9.1796875" style="2"/>
  </cols>
  <sheetData>
    <row r="1" spans="1:6" x14ac:dyDescent="0.25">
      <c r="A1" s="1" t="s">
        <v>1444</v>
      </c>
    </row>
    <row r="2" spans="1:6" x14ac:dyDescent="0.25">
      <c r="A2" s="46">
        <v>-0.22500000000000001</v>
      </c>
    </row>
    <row r="3" spans="1:6" x14ac:dyDescent="0.25">
      <c r="A3" s="46"/>
    </row>
    <row r="4" spans="1:6" x14ac:dyDescent="0.25">
      <c r="A4" s="11">
        <v>23.5</v>
      </c>
    </row>
    <row r="6" spans="1:6" x14ac:dyDescent="0.25">
      <c r="A6" s="11">
        <v>1000000</v>
      </c>
      <c r="B6" s="11">
        <v>692568.67</v>
      </c>
    </row>
    <row r="8" spans="1:6" x14ac:dyDescent="0.25">
      <c r="A8" s="47">
        <f>+CEM!M148</f>
        <v>61671337.700827837</v>
      </c>
      <c r="F8" s="11">
        <v>28863677.079358432</v>
      </c>
    </row>
    <row r="9" spans="1:6" x14ac:dyDescent="0.25">
      <c r="A9" s="50"/>
    </row>
    <row r="10" spans="1:6" x14ac:dyDescent="0.25">
      <c r="A10" s="50"/>
    </row>
    <row r="11" spans="1:6" x14ac:dyDescent="0.25">
      <c r="A11" s="50">
        <v>24467288.18</v>
      </c>
      <c r="B11" s="11">
        <v>4.4999999999999998E-2</v>
      </c>
    </row>
    <row r="13" spans="1:6" x14ac:dyDescent="0.25">
      <c r="B13" s="540">
        <v>4.9000000000000002E-2</v>
      </c>
      <c r="F13" s="11" t="s">
        <v>1557</v>
      </c>
    </row>
    <row r="14" spans="1:6" x14ac:dyDescent="0.25">
      <c r="B14" s="540">
        <v>4.9000000000000002E-2</v>
      </c>
      <c r="F14" s="11" t="s">
        <v>1558</v>
      </c>
    </row>
    <row r="15" spans="1:6" x14ac:dyDescent="0.25">
      <c r="B15" s="540">
        <v>0.1</v>
      </c>
      <c r="F15" s="11" t="s">
        <v>1559</v>
      </c>
    </row>
    <row r="19" spans="1:7" x14ac:dyDescent="0.25">
      <c r="C19" s="455">
        <v>0.05</v>
      </c>
    </row>
    <row r="20" spans="1:7" x14ac:dyDescent="0.25">
      <c r="B20" s="11">
        <v>738</v>
      </c>
      <c r="C20" s="11">
        <f>+B20*C19</f>
        <v>36.9</v>
      </c>
      <c r="D20" s="11">
        <f>+C20+B20</f>
        <v>774.9</v>
      </c>
    </row>
    <row r="21" spans="1:7" x14ac:dyDescent="0.25">
      <c r="B21" s="11">
        <v>738</v>
      </c>
    </row>
    <row r="23" spans="1:7" x14ac:dyDescent="0.25">
      <c r="A23" s="2">
        <f>622500*1.06</f>
        <v>659850</v>
      </c>
      <c r="B23" s="11" t="s">
        <v>1491</v>
      </c>
    </row>
    <row r="25" spans="1:7" x14ac:dyDescent="0.25">
      <c r="G25" s="2">
        <v>3101</v>
      </c>
    </row>
    <row r="26" spans="1:7" x14ac:dyDescent="0.25">
      <c r="G26" s="2">
        <v>7.16</v>
      </c>
    </row>
    <row r="27" spans="1:7" x14ac:dyDescent="0.25">
      <c r="G27" s="2">
        <v>5.5</v>
      </c>
    </row>
    <row r="28" spans="1:7" x14ac:dyDescent="0.25">
      <c r="G28" s="2">
        <f>+G25/G26</f>
        <v>433.10055865921788</v>
      </c>
    </row>
    <row r="29" spans="1:7" x14ac:dyDescent="0.25">
      <c r="G29" s="2">
        <f>+G28*12.8</f>
        <v>5543.6871508379891</v>
      </c>
    </row>
  </sheetData>
  <customSheetViews>
    <customSheetView guid="{6C0BD6A7-6718-429D-82D9-D2FE0341EA2C}">
      <selection activeCell="A5" sqref="A5"/>
      <pageMargins left="0.75" right="0.75" top="1" bottom="1" header="0.5" footer="0.5"/>
      <pageSetup paperSize="9" orientation="portrait" r:id="rId1"/>
      <headerFooter alignWithMargins="0"/>
    </customSheetView>
    <customSheetView guid="{594C4AB0-8D5F-4373-9663-410F4413FE3A}" showPageBreaks="1">
      <selection activeCell="A5" sqref="A5"/>
      <pageMargins left="0.75" right="0.75" top="1" bottom="1" header="0.5" footer="0.5"/>
      <pageSetup paperSize="9" orientation="portrait" r:id="rId2"/>
      <headerFooter alignWithMargins="0"/>
    </customSheetView>
    <customSheetView guid="{DF69299D-7752-4436-A45D-28F739CEE21B}">
      <selection activeCell="B16" sqref="B16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EBE561572ED4A94229BCB4E1AB1BE" ma:contentTypeVersion="17" ma:contentTypeDescription="Create a new document." ma:contentTypeScope="" ma:versionID="4b53a0aa8c1368035ef27774207072be">
  <xsd:schema xmlns:xsd="http://www.w3.org/2001/XMLSchema" xmlns:xs="http://www.w3.org/2001/XMLSchema" xmlns:p="http://schemas.microsoft.com/office/2006/metadata/properties" xmlns:ns3="b6289872-24f8-40cf-8392-196a1464cf81" xmlns:ns4="e4199f53-29a8-47e8-9a7e-0ba17cc9efda" targetNamespace="http://schemas.microsoft.com/office/2006/metadata/properties" ma:root="true" ma:fieldsID="5806b00757cd32726d1ade7ee9ec8eb7" ns3:_="" ns4:_="">
    <xsd:import namespace="b6289872-24f8-40cf-8392-196a1464cf81"/>
    <xsd:import namespace="e4199f53-29a8-47e8-9a7e-0ba17cc9ef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89872-24f8-40cf-8392-196a1464cf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99f53-29a8-47e8-9a7e-0ba17cc9e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6289872-24f8-40cf-8392-196a1464cf81" xsi:nil="true"/>
  </documentManagement>
</p:properties>
</file>

<file path=customXml/itemProps1.xml><?xml version="1.0" encoding="utf-8"?>
<ds:datastoreItem xmlns:ds="http://schemas.openxmlformats.org/officeDocument/2006/customXml" ds:itemID="{DB2C100A-755E-449D-B45A-F866936B72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289872-24f8-40cf-8392-196a1464cf81"/>
    <ds:schemaRef ds:uri="e4199f53-29a8-47e8-9a7e-0ba17cc9e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9C5B65-7465-4265-98D2-ED6DDE337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FF0D63-06F0-43FD-9AB0-80FA7B6F7B2A}">
  <ds:schemaRefs>
    <ds:schemaRef ds:uri="http://schemas.microsoft.com/office/2006/metadata/properties"/>
    <ds:schemaRef ds:uri="http://purl.org/dc/elements/1.1/"/>
    <ds:schemaRef ds:uri="http://www.w3.org/XML/1998/namespace"/>
    <ds:schemaRef ds:uri="e4199f53-29a8-47e8-9a7e-0ba17cc9efda"/>
    <ds:schemaRef ds:uri="b6289872-24f8-40cf-8392-196a1464cf8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mayor</vt:lpstr>
      <vt:lpstr>income</vt:lpstr>
      <vt:lpstr>workshop</vt:lpstr>
      <vt:lpstr>COMMUNITY SERV</vt:lpstr>
      <vt:lpstr>EEM</vt:lpstr>
      <vt:lpstr>CEM</vt:lpstr>
      <vt:lpstr>MDC</vt:lpstr>
      <vt:lpstr>BUDGET</vt:lpstr>
      <vt:lpstr>CALC</vt:lpstr>
      <vt:lpstr>orig</vt:lpstr>
      <vt:lpstr>1-10</vt:lpstr>
      <vt:lpstr>new veh 2012</vt:lpstr>
      <vt:lpstr>Sheet1</vt:lpstr>
      <vt:lpstr>stbk</vt:lpstr>
      <vt:lpstr>Sheet2</vt:lpstr>
      <vt:lpstr>BUDGET!Print_Area</vt:lpstr>
      <vt:lpstr>CEM!Print_Area</vt:lpstr>
      <vt:lpstr>'COMMUNITY SERV'!Print_Area</vt:lpstr>
      <vt:lpstr>EEM!Print_Area</vt:lpstr>
      <vt:lpstr>income!Print_Area</vt:lpstr>
      <vt:lpstr>mayor!Print_Area</vt:lpstr>
      <vt:lpstr>MDC!Print_Area</vt:lpstr>
      <vt:lpstr>workshop!Print_Area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Andre A. Le Grange</cp:lastModifiedBy>
  <cp:lastPrinted>2019-03-08T12:13:13Z</cp:lastPrinted>
  <dcterms:created xsi:type="dcterms:W3CDTF">2005-10-06T12:29:26Z</dcterms:created>
  <dcterms:modified xsi:type="dcterms:W3CDTF">2024-03-22T12:11:44Z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2022-02-28T10:46:57Z</vt:lpwstr>
  </property>
  <property fmtid="{D5CDD505-2E9C-101B-9397-08002B2CF9AE}" pid="4" name="MSIP_Label_616f4fcd-8401-41c8-bfac-a60235e9eb06_Method">
    <vt:lpwstr>Privileged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375e7c46-82ee-43cf-8b09-98bf5e3c3712</vt:lpwstr>
  </property>
  <property fmtid="{D5CDD505-2E9C-101B-9397-08002B2CF9AE}" pid="8" name="MSIP_Label_616f4fcd-8401-41c8-bfac-a60235e9eb06_ContentBits">
    <vt:lpwstr>0</vt:lpwstr>
  </property>
  <property fmtid="{D5CDD505-2E9C-101B-9397-08002B2CF9AE}" pid="9" name="ContentTypeId">
    <vt:lpwstr>0x0101005A4EBE561572ED4A94229BCB4E1AB1BE</vt:lpwstr>
  </property>
</Properties>
</file>