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biewe\Documents\2021 2022 Budget (Draft Budget)\"/>
    </mc:Choice>
  </mc:AlternateContent>
  <xr:revisionPtr revIDLastSave="0" documentId="8_{4D2F2872-C6C6-40BA-89EA-8F3EE8D42E44}" xr6:coauthVersionLast="46" xr6:coauthVersionMax="46" xr10:uidLastSave="{00000000-0000-0000-0000-000000000000}"/>
  <workbookProtection lockRevision="1"/>
  <bookViews>
    <workbookView xWindow="-120" yWindow="-120" windowWidth="20730" windowHeight="11160" tabRatio="826" activeTab="7" xr2:uid="{00000000-000D-0000-FFFF-FFFF00000000}"/>
  </bookViews>
  <sheets>
    <sheet name="mayor" sheetId="1" r:id="rId1"/>
    <sheet name="income" sheetId="2" r:id="rId2"/>
    <sheet name="workshop" sheetId="3" r:id="rId3"/>
    <sheet name="COMMUNITY SERV" sheetId="4" r:id="rId4"/>
    <sheet name="EEM" sheetId="5" r:id="rId5"/>
    <sheet name="CEM" sheetId="6" r:id="rId6"/>
    <sheet name="MDC" sheetId="7" r:id="rId7"/>
    <sheet name="BUDGET" sheetId="8" r:id="rId8"/>
    <sheet name="CALC" sheetId="9" r:id="rId9"/>
    <sheet name="orig" sheetId="10" r:id="rId10"/>
    <sheet name="1-10" sheetId="11" r:id="rId11"/>
    <sheet name="new veh 2012" sheetId="12" r:id="rId12"/>
    <sheet name="Sheet1" sheetId="13" r:id="rId13"/>
    <sheet name="stbk" sheetId="14" r:id="rId14"/>
    <sheet name="Sheet2" sheetId="15" r:id="rId15"/>
  </sheets>
  <definedNames>
    <definedName name="_xlnm._FilterDatabase" localSheetId="10" hidden="1">'1-10'!$A$1:$AY$100</definedName>
    <definedName name="_xlnm._FilterDatabase" localSheetId="11" hidden="1">'new veh 2012'!$A$1:$J$95</definedName>
    <definedName name="_xlnm._FilterDatabase" localSheetId="9" hidden="1">orig!$A$1:$AN$198</definedName>
    <definedName name="_xlnm._FilterDatabase" localSheetId="13" hidden="1">stbk!$A$1:$G$199</definedName>
    <definedName name="_xlnm.Print_Area" localSheetId="7">BUDGET!$A$1:$B$76</definedName>
    <definedName name="_xlnm.Print_Area" localSheetId="5">CEM!$A$1:$Q$145</definedName>
    <definedName name="_xlnm.Print_Area" localSheetId="3">'COMMUNITY SERV'!$A$1:$Q$102</definedName>
    <definedName name="_xlnm.Print_Area" localSheetId="4">EEM!$A$1:$Q$97</definedName>
    <definedName name="_xlnm.Print_Area" localSheetId="1">income!$A$1:$Q$16</definedName>
    <definedName name="_xlnm.Print_Area" localSheetId="0">mayor!$A$1:$Q$42</definedName>
    <definedName name="_xlnm.Print_Area" localSheetId="6">MDC!$A$1:$Q$90</definedName>
    <definedName name="_xlnm.Print_Area" localSheetId="2">workshop!$A$1:$Q$20</definedName>
    <definedName name="Z_594C4AB0_8D5F_4373_9663_410F4413FE3A_.wvu.Cols" localSheetId="10" hidden="1">'1-10'!$B:$B</definedName>
    <definedName name="Z_594C4AB0_8D5F_4373_9663_410F4413FE3A_.wvu.Cols" localSheetId="7" hidden="1">BUDGET!$C:$U</definedName>
    <definedName name="Z_594C4AB0_8D5F_4373_9663_410F4413FE3A_.wvu.Cols" localSheetId="4" hidden="1">EEM!$P:$P</definedName>
    <definedName name="Z_594C4AB0_8D5F_4373_9663_410F4413FE3A_.wvu.Cols" localSheetId="1" hidden="1">income!$P:$P</definedName>
    <definedName name="Z_594C4AB0_8D5F_4373_9663_410F4413FE3A_.wvu.Cols" localSheetId="0" hidden="1">mayor!$P:$P</definedName>
    <definedName name="Z_594C4AB0_8D5F_4373_9663_410F4413FE3A_.wvu.Cols" localSheetId="6" hidden="1">MDC!$J:$J,MDC!$P:$P</definedName>
    <definedName name="Z_594C4AB0_8D5F_4373_9663_410F4413FE3A_.wvu.Cols" localSheetId="2" hidden="1">workshop!$J:$J,workshop!$P:$P</definedName>
    <definedName name="Z_594C4AB0_8D5F_4373_9663_410F4413FE3A_.wvu.FilterData" localSheetId="10" hidden="1">'1-10'!$A$1:$AY$100</definedName>
    <definedName name="Z_594C4AB0_8D5F_4373_9663_410F4413FE3A_.wvu.FilterData" localSheetId="11" hidden="1">'new veh 2012'!$A$1:$J$95</definedName>
    <definedName name="Z_594C4AB0_8D5F_4373_9663_410F4413FE3A_.wvu.FilterData" localSheetId="9" hidden="1">orig!$A$1:$AN$198</definedName>
    <definedName name="Z_594C4AB0_8D5F_4373_9663_410F4413FE3A_.wvu.FilterData" localSheetId="13" hidden="1">stbk!$A$1:$G$199</definedName>
    <definedName name="Z_594C4AB0_8D5F_4373_9663_410F4413FE3A_.wvu.PrintArea" localSheetId="7" hidden="1">BUDGET!$A$1:$B$76</definedName>
    <definedName name="Z_594C4AB0_8D5F_4373_9663_410F4413FE3A_.wvu.PrintArea" localSheetId="5" hidden="1">CEM!$A$1:$Q$145</definedName>
    <definedName name="Z_594C4AB0_8D5F_4373_9663_410F4413FE3A_.wvu.PrintArea" localSheetId="3" hidden="1">'COMMUNITY SERV'!$A$1:$Q$102</definedName>
    <definedName name="Z_594C4AB0_8D5F_4373_9663_410F4413FE3A_.wvu.PrintArea" localSheetId="4" hidden="1">EEM!$A$1:$Q$97</definedName>
    <definedName name="Z_594C4AB0_8D5F_4373_9663_410F4413FE3A_.wvu.PrintArea" localSheetId="1" hidden="1">income!$A$1:$Q$16</definedName>
    <definedName name="Z_594C4AB0_8D5F_4373_9663_410F4413FE3A_.wvu.PrintArea" localSheetId="0" hidden="1">mayor!$A$1:$Q$42</definedName>
    <definedName name="Z_594C4AB0_8D5F_4373_9663_410F4413FE3A_.wvu.PrintArea" localSheetId="6" hidden="1">MDC!$A$1:$Q$90</definedName>
    <definedName name="Z_594C4AB0_8D5F_4373_9663_410F4413FE3A_.wvu.PrintArea" localSheetId="2" hidden="1">workshop!$A$1:$Q$20</definedName>
    <definedName name="Z_594C4AB0_8D5F_4373_9663_410F4413FE3A_.wvu.Rows" localSheetId="7" hidden="1">BUDGET!$2:$7,BUDGET!$9:$9,BUDGET!$11:$11,BUDGET!$13:$16,BUDGET!$18:$21,BUDGET!$23:$23,BUDGET!$25:$28,BUDGET!$30:$36,BUDGET!$38:$38,BUDGET!$40:$40,BUDGET!$42:$47,BUDGET!$49:$49,BUDGET!$51:$54,BUDGET!$56:$59,BUDGET!$61:$66,BUDGET!$68:$68,BUDGET!$70:$70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594C4AB0_8D5F_4373_9663_410F4413FE3A_.wvu.Rows" localSheetId="5" hidden="1">CEM!$140:$140</definedName>
    <definedName name="Z_594C4AB0_8D5F_4373_9663_410F4413FE3A_.wvu.Rows" localSheetId="6" hidden="1">MDC!$67:$73</definedName>
    <definedName name="Z_594C4AB0_8D5F_4373_9663_410F4413FE3A_.wvu.Rows" localSheetId="11" hidden="1">'new veh 2012'!$96:$97</definedName>
    <definedName name="Z_6C0BD6A7_6718_429D_82D9_D2FE0341EA2C_.wvu.Cols" localSheetId="10" hidden="1">'1-10'!$B:$B</definedName>
    <definedName name="Z_6C0BD6A7_6718_429D_82D9_D2FE0341EA2C_.wvu.Cols" localSheetId="7" hidden="1">BUDGET!$C:$S</definedName>
    <definedName name="Z_6C0BD6A7_6718_429D_82D9_D2FE0341EA2C_.wvu.Cols" localSheetId="4" hidden="1">EEM!$P:$P</definedName>
    <definedName name="Z_6C0BD6A7_6718_429D_82D9_D2FE0341EA2C_.wvu.Cols" localSheetId="1" hidden="1">income!$P:$P</definedName>
    <definedName name="Z_6C0BD6A7_6718_429D_82D9_D2FE0341EA2C_.wvu.Cols" localSheetId="0" hidden="1">mayor!$P:$P</definedName>
    <definedName name="Z_6C0BD6A7_6718_429D_82D9_D2FE0341EA2C_.wvu.Cols" localSheetId="6" hidden="1">MDC!$J:$J,MDC!$P:$P</definedName>
    <definedName name="Z_6C0BD6A7_6718_429D_82D9_D2FE0341EA2C_.wvu.Cols" localSheetId="2" hidden="1">workshop!$J:$J,workshop!$P:$P</definedName>
    <definedName name="Z_6C0BD6A7_6718_429D_82D9_D2FE0341EA2C_.wvu.FilterData" localSheetId="10" hidden="1">'1-10'!$A$1:$AY$100</definedName>
    <definedName name="Z_6C0BD6A7_6718_429D_82D9_D2FE0341EA2C_.wvu.FilterData" localSheetId="11" hidden="1">'new veh 2012'!$A$1:$J$95</definedName>
    <definedName name="Z_6C0BD6A7_6718_429D_82D9_D2FE0341EA2C_.wvu.FilterData" localSheetId="9" hidden="1">orig!$A$1:$AN$198</definedName>
    <definedName name="Z_6C0BD6A7_6718_429D_82D9_D2FE0341EA2C_.wvu.FilterData" localSheetId="13" hidden="1">stbk!$A$1:$G$199</definedName>
    <definedName name="Z_6C0BD6A7_6718_429D_82D9_D2FE0341EA2C_.wvu.PrintArea" localSheetId="7" hidden="1">BUDGET!$A$1:$B$76</definedName>
    <definedName name="Z_6C0BD6A7_6718_429D_82D9_D2FE0341EA2C_.wvu.PrintArea" localSheetId="5" hidden="1">CEM!$A$1:$Q$145</definedName>
    <definedName name="Z_6C0BD6A7_6718_429D_82D9_D2FE0341EA2C_.wvu.PrintArea" localSheetId="3" hidden="1">'COMMUNITY SERV'!$A$1:$Q$102</definedName>
    <definedName name="Z_6C0BD6A7_6718_429D_82D9_D2FE0341EA2C_.wvu.PrintArea" localSheetId="4" hidden="1">EEM!$A$1:$Q$97</definedName>
    <definedName name="Z_6C0BD6A7_6718_429D_82D9_D2FE0341EA2C_.wvu.PrintArea" localSheetId="1" hidden="1">income!$A$1:$Q$16</definedName>
    <definedName name="Z_6C0BD6A7_6718_429D_82D9_D2FE0341EA2C_.wvu.PrintArea" localSheetId="0" hidden="1">mayor!$A$1:$Q$42</definedName>
    <definedName name="Z_6C0BD6A7_6718_429D_82D9_D2FE0341EA2C_.wvu.PrintArea" localSheetId="6" hidden="1">MDC!$A$1:$Q$90</definedName>
    <definedName name="Z_6C0BD6A7_6718_429D_82D9_D2FE0341EA2C_.wvu.PrintArea" localSheetId="2" hidden="1">workshop!$A$1:$Q$20</definedName>
    <definedName name="Z_6C0BD6A7_6718_429D_82D9_D2FE0341EA2C_.wvu.Rows" localSheetId="7" hidden="1">BUDGET!$3:$7,BUDGET!$9:$9,BUDGET!$11:$11,BUDGET!$13:$16,BUDGET!$18:$21,BUDGET!$23:$23,BUDGET!$25:$28,BUDGET!$30:$36,BUDGET!$38:$38,BUDGET!$40:$40,BUDGET!$42:$47,BUDGET!$49:$49,BUDGET!$51:$54,BUDGET!$56:$59,BUDGET!$61:$66,BUDGET!$68:$68,BUDGET!$70:$70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6C0BD6A7_6718_429D_82D9_D2FE0341EA2C_.wvu.Rows" localSheetId="5" hidden="1">CEM!$140:$140</definedName>
    <definedName name="Z_6C0BD6A7_6718_429D_82D9_D2FE0341EA2C_.wvu.Rows" localSheetId="6" hidden="1">MDC!$67:$73</definedName>
    <definedName name="Z_6C0BD6A7_6718_429D_82D9_D2FE0341EA2C_.wvu.Rows" localSheetId="11" hidden="1">'new veh 2012'!$96:$97</definedName>
    <definedName name="Z_85BAD813_6002_444C_94EE_85A3EFC799A5_.wvu.Cols" localSheetId="10" hidden="1">'1-10'!$B:$B</definedName>
    <definedName name="Z_85BAD813_6002_444C_94EE_85A3EFC799A5_.wvu.Cols" localSheetId="7" hidden="1">BUDGET!$C:$S</definedName>
    <definedName name="Z_85BAD813_6002_444C_94EE_85A3EFC799A5_.wvu.Cols" localSheetId="5" hidden="1">CEM!$P:$P</definedName>
    <definedName name="Z_85BAD813_6002_444C_94EE_85A3EFC799A5_.wvu.Cols" localSheetId="1" hidden="1">income!$P:$P</definedName>
    <definedName name="Z_85BAD813_6002_444C_94EE_85A3EFC799A5_.wvu.Cols" localSheetId="0" hidden="1">mayor!$P:$P</definedName>
    <definedName name="Z_85BAD813_6002_444C_94EE_85A3EFC799A5_.wvu.Cols" localSheetId="6" hidden="1">MDC!$J:$J,MDC!$P:$P</definedName>
    <definedName name="Z_85BAD813_6002_444C_94EE_85A3EFC799A5_.wvu.Cols" localSheetId="2" hidden="1">workshop!$J:$J,workshop!$P:$P</definedName>
    <definedName name="Z_85BAD813_6002_444C_94EE_85A3EFC799A5_.wvu.FilterData" localSheetId="10" hidden="1">'1-10'!$A$1:$AY$100</definedName>
    <definedName name="Z_85BAD813_6002_444C_94EE_85A3EFC799A5_.wvu.FilterData" localSheetId="11" hidden="1">'new veh 2012'!$A$1:$J$95</definedName>
    <definedName name="Z_85BAD813_6002_444C_94EE_85A3EFC799A5_.wvu.FilterData" localSheetId="9" hidden="1">orig!$A$1:$AN$198</definedName>
    <definedName name="Z_85BAD813_6002_444C_94EE_85A3EFC799A5_.wvu.FilterData" localSheetId="13" hidden="1">stbk!$A$1:$G$199</definedName>
    <definedName name="Z_85BAD813_6002_444C_94EE_85A3EFC799A5_.wvu.PrintArea" localSheetId="7" hidden="1">BUDGET!$A$1:$B$76</definedName>
    <definedName name="Z_85BAD813_6002_444C_94EE_85A3EFC799A5_.wvu.PrintArea" localSheetId="5" hidden="1">CEM!$A$1:$Q$145</definedName>
    <definedName name="Z_85BAD813_6002_444C_94EE_85A3EFC799A5_.wvu.PrintArea" localSheetId="3" hidden="1">'COMMUNITY SERV'!$A$1:$Q$102</definedName>
    <definedName name="Z_85BAD813_6002_444C_94EE_85A3EFC799A5_.wvu.PrintArea" localSheetId="4" hidden="1">EEM!$A$1:$Q$97</definedName>
    <definedName name="Z_85BAD813_6002_444C_94EE_85A3EFC799A5_.wvu.PrintArea" localSheetId="1" hidden="1">income!$A$1:$Q$16</definedName>
    <definedName name="Z_85BAD813_6002_444C_94EE_85A3EFC799A5_.wvu.PrintArea" localSheetId="0" hidden="1">mayor!$A$1:$Q$42</definedName>
    <definedName name="Z_85BAD813_6002_444C_94EE_85A3EFC799A5_.wvu.PrintArea" localSheetId="6" hidden="1">MDC!$A$1:$Q$90</definedName>
    <definedName name="Z_85BAD813_6002_444C_94EE_85A3EFC799A5_.wvu.PrintArea" localSheetId="2" hidden="1">workshop!$A$1:$Q$20</definedName>
    <definedName name="Z_85BAD813_6002_444C_94EE_85A3EFC799A5_.wvu.Rows" localSheetId="7" hidden="1">BUDGET!$3:$7,BUDGET!$9:$9,BUDGET!$11:$11,BUDGET!$13:$16,BUDGET!$18:$21,BUDGET!$23:$23,BUDGET!$25:$28,BUDGET!$30:$36,BUDGET!$38:$38,BUDGET!$40:$40,BUDGET!$42:$47,BUDGET!$49:$49,BUDGET!$51:$54,BUDGET!$56:$59,BUDGET!$61:$66,BUDGET!$68:$68,BUDGET!$70:$70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85BAD813_6002_444C_94EE_85A3EFC799A5_.wvu.Rows" localSheetId="5" hidden="1">CEM!$140:$140</definedName>
    <definedName name="Z_85BAD813_6002_444C_94EE_85A3EFC799A5_.wvu.Rows" localSheetId="6" hidden="1">MDC!$67:$73</definedName>
    <definedName name="Z_85BAD813_6002_444C_94EE_85A3EFC799A5_.wvu.Rows" localSheetId="11" hidden="1">'new veh 2012'!$96:$97</definedName>
    <definedName name="Z_DF69299D_7752_4436_A45D_28F739CEE21B_.wvu.Cols" localSheetId="10" hidden="1">'1-10'!$B:$B</definedName>
    <definedName name="Z_DF69299D_7752_4436_A45D_28F739CEE21B_.wvu.Cols" localSheetId="7" hidden="1">BUDGET!$C:$S</definedName>
    <definedName name="Z_DF69299D_7752_4436_A45D_28F739CEE21B_.wvu.Cols" localSheetId="5" hidden="1">CEM!$P:$P</definedName>
    <definedName name="Z_DF69299D_7752_4436_A45D_28F739CEE21B_.wvu.Cols" localSheetId="1" hidden="1">income!$P:$P</definedName>
    <definedName name="Z_DF69299D_7752_4436_A45D_28F739CEE21B_.wvu.Cols" localSheetId="0" hidden="1">mayor!$P:$P</definedName>
    <definedName name="Z_DF69299D_7752_4436_A45D_28F739CEE21B_.wvu.Cols" localSheetId="6" hidden="1">MDC!$J:$J,MDC!$P:$P</definedName>
    <definedName name="Z_DF69299D_7752_4436_A45D_28F739CEE21B_.wvu.Cols" localSheetId="2" hidden="1">workshop!$J:$J,workshop!$P:$P</definedName>
    <definedName name="Z_DF69299D_7752_4436_A45D_28F739CEE21B_.wvu.FilterData" localSheetId="10" hidden="1">'1-10'!$A$1:$AY$100</definedName>
    <definedName name="Z_DF69299D_7752_4436_A45D_28F739CEE21B_.wvu.FilterData" localSheetId="11" hidden="1">'new veh 2012'!$A$1:$J$95</definedName>
    <definedName name="Z_DF69299D_7752_4436_A45D_28F739CEE21B_.wvu.FilterData" localSheetId="9" hidden="1">orig!$A$1:$AN$198</definedName>
    <definedName name="Z_DF69299D_7752_4436_A45D_28F739CEE21B_.wvu.FilterData" localSheetId="13" hidden="1">stbk!$A$1:$G$199</definedName>
    <definedName name="Z_DF69299D_7752_4436_A45D_28F739CEE21B_.wvu.PrintArea" localSheetId="7" hidden="1">BUDGET!$A$1:$B$76</definedName>
    <definedName name="Z_DF69299D_7752_4436_A45D_28F739CEE21B_.wvu.PrintArea" localSheetId="5" hidden="1">CEM!$A$1:$Q$145</definedName>
    <definedName name="Z_DF69299D_7752_4436_A45D_28F739CEE21B_.wvu.PrintArea" localSheetId="3" hidden="1">'COMMUNITY SERV'!$A$1:$Q$102</definedName>
    <definedName name="Z_DF69299D_7752_4436_A45D_28F739CEE21B_.wvu.PrintArea" localSheetId="4" hidden="1">EEM!$A$1:$Q$97</definedName>
    <definedName name="Z_DF69299D_7752_4436_A45D_28F739CEE21B_.wvu.PrintArea" localSheetId="1" hidden="1">income!$A$1:$Q$16</definedName>
    <definedName name="Z_DF69299D_7752_4436_A45D_28F739CEE21B_.wvu.PrintArea" localSheetId="0" hidden="1">mayor!$A$1:$Q$42</definedName>
    <definedName name="Z_DF69299D_7752_4436_A45D_28F739CEE21B_.wvu.PrintArea" localSheetId="6" hidden="1">MDC!$A$1:$Q$90</definedName>
    <definedName name="Z_DF69299D_7752_4436_A45D_28F739CEE21B_.wvu.PrintArea" localSheetId="2" hidden="1">workshop!$A$1:$Q$20</definedName>
    <definedName name="Z_DF69299D_7752_4436_A45D_28F739CEE21B_.wvu.Rows" localSheetId="7" hidden="1">BUDGET!$3:$7,BUDGET!$9:$9,BUDGET!$11:$11,BUDGET!$13:$16,BUDGET!$18:$21,BUDGET!$23:$23,BUDGET!$25:$28,BUDGET!$30:$36,BUDGET!$38:$38,BUDGET!$40:$40,BUDGET!$42:$47,BUDGET!$49:$49,BUDGET!$51:$54,BUDGET!$56:$59,BUDGET!$61:$66,BUDGET!$68:$68,BUDGET!$70:$70</definedName>
    <definedName name="Z_DF69299D_7752_4436_A45D_28F739CEE21B_.wvu.Rows" localSheetId="5" hidden="1">CEM!$140:$140</definedName>
    <definedName name="Z_DF69299D_7752_4436_A45D_28F739CEE21B_.wvu.Rows" localSheetId="6" hidden="1">MDC!$67:$73</definedName>
    <definedName name="Z_DF69299D_7752_4436_A45D_28F739CEE21B_.wvu.Rows" localSheetId="11" hidden="1">'new veh 2012'!$96:$97</definedName>
  </definedNames>
  <calcPr calcId="191029"/>
  <customWorkbookViews>
    <customWorkbookView name="Johan Biewenga - Personal View" guid="{85BAD813-6002-444C-94EE-85A3EFC799A5}" mergeInterval="0" personalView="1" maximized="1" xWindow="-8" yWindow="-8" windowWidth="1382" windowHeight="744" tabRatio="826" activeSheetId="8"/>
    <customWorkbookView name="Andre A. Le Grange - Personal View" guid="{DF69299D-7752-4436-A45D-28F739CEE21B}" mergeInterval="0" personalView="1" maximized="1" xWindow="-8" yWindow="-8" windowWidth="1382" windowHeight="744" tabRatio="826" activeSheetId="9"/>
    <customWorkbookView name="tendani - Personal View" guid="{6C0BD6A7-6718-429D-82D9-D2FE0341EA2C}" mergeInterval="0" personalView="1" xWindow="80" yWindow="7" windowWidth="1280" windowHeight="721" tabRatio="826" activeSheetId="6"/>
    <customWorkbookView name="Lydia Du Plessis - Personal View" guid="{594C4AB0-8D5F-4373-9663-410F4413FE3A}" mergeInterval="0" personalView="1" maximized="1" xWindow="-8" yWindow="-8" windowWidth="1936" windowHeight="1056" tabRatio="826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6" l="1"/>
  <c r="A8" i="6"/>
  <c r="A13" i="6"/>
  <c r="A14" i="6"/>
  <c r="A15" i="6"/>
  <c r="A20" i="6"/>
  <c r="A21" i="6"/>
  <c r="A22" i="6"/>
  <c r="A27" i="6"/>
  <c r="A28" i="6"/>
  <c r="A29" i="6"/>
  <c r="A30" i="6"/>
  <c r="A35" i="6"/>
  <c r="A40" i="6"/>
  <c r="A46" i="6"/>
  <c r="A47" i="6"/>
  <c r="A59" i="6"/>
  <c r="A60" i="6"/>
  <c r="A65" i="6"/>
  <c r="A66" i="6"/>
  <c r="A71" i="6"/>
  <c r="A72" i="6"/>
  <c r="A77" i="6"/>
  <c r="A78" i="6"/>
  <c r="A79" i="6"/>
  <c r="A80" i="6"/>
  <c r="E46" i="5"/>
  <c r="E45" i="5"/>
  <c r="E44" i="5"/>
  <c r="E43" i="5"/>
  <c r="E42" i="5"/>
  <c r="G46" i="5"/>
  <c r="G45" i="5"/>
  <c r="G44" i="5"/>
  <c r="G43" i="5"/>
  <c r="G42" i="5"/>
  <c r="M42" i="5" s="1"/>
  <c r="M46" i="5" l="1"/>
  <c r="M44" i="5"/>
  <c r="M43" i="5"/>
  <c r="M45" i="5"/>
  <c r="I68" i="4"/>
  <c r="I67" i="4"/>
  <c r="I66" i="4"/>
  <c r="I21" i="4"/>
  <c r="I20" i="4"/>
  <c r="I14" i="4"/>
  <c r="I13" i="4"/>
  <c r="I15" i="3"/>
  <c r="I10" i="3"/>
  <c r="I8" i="3"/>
  <c r="I9" i="2"/>
  <c r="I34" i="1"/>
  <c r="I22" i="1"/>
  <c r="I9" i="1"/>
  <c r="I8" i="1"/>
  <c r="I15" i="1"/>
  <c r="G66" i="4"/>
  <c r="K15" i="1" l="1"/>
  <c r="H15" i="1"/>
  <c r="K8" i="1"/>
  <c r="H8" i="1"/>
  <c r="H44" i="7" l="1"/>
  <c r="H39" i="7"/>
  <c r="H34" i="7"/>
  <c r="H29" i="7"/>
  <c r="H30" i="7" s="1"/>
  <c r="H80" i="6"/>
  <c r="H79" i="6"/>
  <c r="H78" i="6"/>
  <c r="H77" i="6"/>
  <c r="H72" i="6"/>
  <c r="H71" i="6"/>
  <c r="H66" i="6"/>
  <c r="H65" i="6"/>
  <c r="H60" i="6"/>
  <c r="H59" i="6"/>
  <c r="H54" i="6"/>
  <c r="H53" i="6"/>
  <c r="H47" i="6"/>
  <c r="H46" i="6"/>
  <c r="H40" i="6"/>
  <c r="H35" i="6"/>
  <c r="H30" i="6"/>
  <c r="H80" i="5"/>
  <c r="H74" i="5"/>
  <c r="H73" i="5"/>
  <c r="H47" i="5"/>
  <c r="H41" i="5"/>
  <c r="H40" i="5"/>
  <c r="H39" i="5"/>
  <c r="H38" i="5"/>
  <c r="H35" i="5"/>
  <c r="H31" i="5"/>
  <c r="H30" i="5"/>
  <c r="H7" i="5"/>
  <c r="H96" i="4"/>
  <c r="H91" i="4"/>
  <c r="H89" i="4"/>
  <c r="H90" i="4"/>
  <c r="K27" i="4" l="1"/>
  <c r="K21" i="4"/>
  <c r="K20" i="4"/>
  <c r="K14" i="4"/>
  <c r="K13" i="4"/>
  <c r="K16" i="1"/>
  <c r="H16" i="1"/>
  <c r="K9" i="1"/>
  <c r="H9" i="1"/>
  <c r="H62" i="7" l="1"/>
  <c r="H50" i="7"/>
  <c r="H83" i="7"/>
  <c r="H77" i="7"/>
  <c r="T148" i="6"/>
  <c r="T147" i="6"/>
  <c r="S149" i="6"/>
  <c r="T149" i="6" s="1"/>
  <c r="AA74" i="8"/>
  <c r="AA73" i="8"/>
  <c r="AA76" i="8" l="1"/>
  <c r="G83" i="7"/>
  <c r="G77" i="7"/>
  <c r="G62" i="7"/>
  <c r="H56" i="7"/>
  <c r="G56" i="7"/>
  <c r="G50" i="7"/>
  <c r="G44" i="7"/>
  <c r="G39" i="7"/>
  <c r="G34" i="7"/>
  <c r="G30" i="7"/>
  <c r="G29" i="7"/>
  <c r="G22" i="7"/>
  <c r="G24" i="7"/>
  <c r="G23" i="7"/>
  <c r="G16" i="7"/>
  <c r="G15" i="7"/>
  <c r="G14" i="7"/>
  <c r="G13" i="7"/>
  <c r="G12" i="7"/>
  <c r="G11" i="7"/>
  <c r="G10" i="7"/>
  <c r="G9" i="7"/>
  <c r="G8" i="7"/>
  <c r="G7" i="7"/>
  <c r="G127" i="6"/>
  <c r="H127" i="6"/>
  <c r="H120" i="6"/>
  <c r="G120" i="6"/>
  <c r="H119" i="6"/>
  <c r="G119" i="6"/>
  <c r="H118" i="6"/>
  <c r="G118" i="6"/>
  <c r="H116" i="6"/>
  <c r="H115" i="6"/>
  <c r="G116" i="6"/>
  <c r="G115" i="6"/>
  <c r="G110" i="6"/>
  <c r="H110" i="6"/>
  <c r="H109" i="6"/>
  <c r="G109" i="6"/>
  <c r="H108" i="6"/>
  <c r="G108" i="6"/>
  <c r="H97" i="6"/>
  <c r="H100" i="6"/>
  <c r="H99" i="6"/>
  <c r="H98" i="6"/>
  <c r="H86" i="6"/>
  <c r="G100" i="6"/>
  <c r="G99" i="6"/>
  <c r="G98" i="6"/>
  <c r="G97" i="6"/>
  <c r="H92" i="6"/>
  <c r="H91" i="6"/>
  <c r="H90" i="6"/>
  <c r="H89" i="6"/>
  <c r="H88" i="6"/>
  <c r="G92" i="6"/>
  <c r="G91" i="6"/>
  <c r="G90" i="6"/>
  <c r="G89" i="6"/>
  <c r="H96" i="6"/>
  <c r="G96" i="6"/>
  <c r="H95" i="6"/>
  <c r="G95" i="6"/>
  <c r="H94" i="6"/>
  <c r="G94" i="6"/>
  <c r="H93" i="6"/>
  <c r="G93" i="6"/>
  <c r="G88" i="6"/>
  <c r="H87" i="6"/>
  <c r="G87" i="6"/>
  <c r="G86" i="6"/>
  <c r="G80" i="6"/>
  <c r="G79" i="6"/>
  <c r="G78" i="6"/>
  <c r="G77" i="6"/>
  <c r="G72" i="6"/>
  <c r="G71" i="6"/>
  <c r="G66" i="6"/>
  <c r="G65" i="6"/>
  <c r="G60" i="6"/>
  <c r="G59" i="6"/>
  <c r="G54" i="6"/>
  <c r="G53" i="6"/>
  <c r="G46" i="6"/>
  <c r="G47" i="6"/>
  <c r="G40" i="6"/>
  <c r="H36" i="6"/>
  <c r="G36" i="6"/>
  <c r="G35" i="6"/>
  <c r="G30" i="6"/>
  <c r="G29" i="6"/>
  <c r="G28" i="6"/>
  <c r="G27" i="6"/>
  <c r="G22" i="6"/>
  <c r="G21" i="6"/>
  <c r="G20" i="6"/>
  <c r="G13" i="6"/>
  <c r="G15" i="6"/>
  <c r="G14" i="6"/>
  <c r="G8" i="6"/>
  <c r="G7" i="6"/>
  <c r="G86" i="5"/>
  <c r="H92" i="5"/>
  <c r="G92" i="5"/>
  <c r="H90" i="5"/>
  <c r="G90" i="5"/>
  <c r="H89" i="5"/>
  <c r="G89" i="5"/>
  <c r="H88" i="5"/>
  <c r="G88" i="5"/>
  <c r="H87" i="5"/>
  <c r="G87" i="5"/>
  <c r="H86" i="5"/>
  <c r="G80" i="5"/>
  <c r="G74" i="5"/>
  <c r="G73" i="5"/>
  <c r="G67" i="5"/>
  <c r="G66" i="5"/>
  <c r="H59" i="5"/>
  <c r="G59" i="5"/>
  <c r="H52" i="5"/>
  <c r="G52" i="5"/>
  <c r="G47" i="5"/>
  <c r="G41" i="5"/>
  <c r="G40" i="5"/>
  <c r="G39" i="5"/>
  <c r="G38" i="5"/>
  <c r="H37" i="5"/>
  <c r="G37" i="5"/>
  <c r="H36" i="5"/>
  <c r="G36" i="5"/>
  <c r="G35" i="5"/>
  <c r="H34" i="5"/>
  <c r="G34" i="5"/>
  <c r="H33" i="5"/>
  <c r="G33" i="5"/>
  <c r="H32" i="5"/>
  <c r="G32" i="5"/>
  <c r="G31" i="5"/>
  <c r="G30" i="5"/>
  <c r="H29" i="5"/>
  <c r="G29" i="5"/>
  <c r="G22" i="5"/>
  <c r="G7" i="5"/>
  <c r="G14" i="5"/>
  <c r="G21" i="5"/>
  <c r="G20" i="5"/>
  <c r="G19" i="5"/>
  <c r="G18" i="5"/>
  <c r="G17" i="5"/>
  <c r="G16" i="5"/>
  <c r="G15" i="5"/>
  <c r="G13" i="5"/>
  <c r="G96" i="4"/>
  <c r="G91" i="4"/>
  <c r="G90" i="4"/>
  <c r="G89" i="4"/>
  <c r="G83" i="4"/>
  <c r="G82" i="4"/>
  <c r="G81" i="4"/>
  <c r="G80" i="4"/>
  <c r="G79" i="4"/>
  <c r="G78" i="4"/>
  <c r="G72" i="4"/>
  <c r="G71" i="4"/>
  <c r="G70" i="4"/>
  <c r="G69" i="4"/>
  <c r="G68" i="4"/>
  <c r="G67" i="4"/>
  <c r="G57" i="4"/>
  <c r="H57" i="4"/>
  <c r="G47" i="4"/>
  <c r="G45" i="4"/>
  <c r="H47" i="4"/>
  <c r="H46" i="4"/>
  <c r="G46" i="4"/>
  <c r="H45" i="4"/>
  <c r="H44" i="4"/>
  <c r="G44" i="4"/>
  <c r="H38" i="4"/>
  <c r="G38" i="4"/>
  <c r="H37" i="4"/>
  <c r="G37" i="4"/>
  <c r="H36" i="4"/>
  <c r="G36" i="4"/>
  <c r="H35" i="4"/>
  <c r="G35" i="4"/>
  <c r="H34" i="4"/>
  <c r="G34" i="4"/>
  <c r="H33" i="4"/>
  <c r="G33" i="4"/>
  <c r="G27" i="4"/>
  <c r="G21" i="4"/>
  <c r="G20" i="4"/>
  <c r="G14" i="4"/>
  <c r="G13" i="4"/>
  <c r="G7" i="4"/>
  <c r="G8" i="3"/>
  <c r="G15" i="3"/>
  <c r="G10" i="3"/>
  <c r="G9" i="3"/>
  <c r="G9" i="2"/>
  <c r="G34" i="1"/>
  <c r="K28" i="1"/>
  <c r="G22" i="1"/>
  <c r="H1" i="1"/>
  <c r="G1" i="1"/>
  <c r="G16" i="1"/>
  <c r="G15" i="1" l="1"/>
  <c r="G8" i="1"/>
  <c r="G9" i="1"/>
  <c r="F135" i="6" l="1"/>
  <c r="M140" i="6"/>
  <c r="F8" i="1" l="1"/>
  <c r="V77" i="8" l="1"/>
  <c r="B78" i="8" s="1"/>
  <c r="D74" i="8"/>
  <c r="O140" i="6"/>
  <c r="C19" i="9"/>
  <c r="D19" i="9" s="1"/>
  <c r="O158" i="6"/>
  <c r="O159" i="6" s="1"/>
  <c r="O154" i="6"/>
  <c r="O155" i="6" s="1"/>
  <c r="M149" i="6" s="1"/>
  <c r="G11" i="8"/>
  <c r="G5" i="8" s="1"/>
  <c r="O3" i="11" l="1"/>
  <c r="K36" i="1"/>
  <c r="J36" i="1"/>
  <c r="H36" i="1"/>
  <c r="F36" i="1"/>
  <c r="D36" i="1"/>
  <c r="I36" i="1"/>
  <c r="G36" i="1"/>
  <c r="E34" i="1"/>
  <c r="E36" i="1" s="1"/>
  <c r="K16" i="3"/>
  <c r="H166" i="6"/>
  <c r="M34" i="1" l="1"/>
  <c r="M36" i="1" s="1"/>
  <c r="T76" i="8"/>
  <c r="T77" i="8" s="1"/>
  <c r="E9" i="2" l="1"/>
  <c r="E16" i="1"/>
  <c r="M153" i="6"/>
  <c r="I99" i="7" l="1"/>
  <c r="K9" i="13"/>
  <c r="K10" i="13" s="1"/>
  <c r="K12" i="13" s="1"/>
  <c r="I53" i="6"/>
  <c r="C70" i="8" l="1"/>
  <c r="C68" i="8"/>
  <c r="B68" i="8" s="1"/>
  <c r="F89" i="7"/>
  <c r="G89" i="7"/>
  <c r="H89" i="7"/>
  <c r="I89" i="7"/>
  <c r="J89" i="7"/>
  <c r="K89" i="7"/>
  <c r="D89" i="7"/>
  <c r="E54" i="8"/>
  <c r="D54" i="8"/>
  <c r="O52" i="8"/>
  <c r="N52" i="8"/>
  <c r="M52" i="8"/>
  <c r="L52" i="8"/>
  <c r="K52" i="8"/>
  <c r="J52" i="8"/>
  <c r="I52" i="8"/>
  <c r="H52" i="8"/>
  <c r="G52" i="8"/>
  <c r="F52" i="8"/>
  <c r="D52" i="8"/>
  <c r="C52" i="8"/>
  <c r="F59" i="8"/>
  <c r="G26" i="8"/>
  <c r="D21" i="8"/>
  <c r="C23" i="8"/>
  <c r="B23" i="8" s="1"/>
  <c r="C21" i="8"/>
  <c r="C9" i="8"/>
  <c r="C7" i="8"/>
  <c r="C5" i="8" l="1"/>
  <c r="B21" i="8"/>
  <c r="E28" i="1"/>
  <c r="E22" i="1"/>
  <c r="E15" i="1"/>
  <c r="E9" i="1"/>
  <c r="E8" i="1"/>
  <c r="E13" i="6" l="1"/>
  <c r="E8" i="6"/>
  <c r="E7" i="6"/>
  <c r="E14" i="6"/>
  <c r="E15" i="6"/>
  <c r="E87" i="6"/>
  <c r="E88" i="6"/>
  <c r="E89" i="6"/>
  <c r="E90" i="6"/>
  <c r="E91" i="6"/>
  <c r="E92" i="6"/>
  <c r="F111" i="6"/>
  <c r="G111" i="6"/>
  <c r="H111" i="6"/>
  <c r="I111" i="6"/>
  <c r="J111" i="6"/>
  <c r="K111" i="6"/>
  <c r="L111" i="6"/>
  <c r="D111" i="6"/>
  <c r="O54" i="8" s="1"/>
  <c r="L61" i="5" l="1"/>
  <c r="L54" i="5"/>
  <c r="E71" i="14"/>
  <c r="F92" i="4"/>
  <c r="G92" i="4"/>
  <c r="H92" i="4"/>
  <c r="I92" i="4"/>
  <c r="J92" i="4"/>
  <c r="K92" i="4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L9" i="4" s="1"/>
  <c r="E39" i="14"/>
  <c r="E40" i="14"/>
  <c r="E41" i="14"/>
  <c r="E42" i="14"/>
  <c r="E43" i="14"/>
  <c r="E44" i="14"/>
  <c r="E45" i="14"/>
  <c r="E46" i="14"/>
  <c r="E47" i="14"/>
  <c r="E48" i="14"/>
  <c r="E49" i="14"/>
  <c r="E50" i="14"/>
  <c r="L9" i="5" s="1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L16" i="3" s="1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L30" i="7" s="1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143" i="14"/>
  <c r="E144" i="14"/>
  <c r="E145" i="14"/>
  <c r="E146" i="14"/>
  <c r="L29" i="4" s="1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L35" i="7" s="1"/>
  <c r="E163" i="14"/>
  <c r="E164" i="14"/>
  <c r="E165" i="14"/>
  <c r="E166" i="14"/>
  <c r="E167" i="14"/>
  <c r="E168" i="14"/>
  <c r="E169" i="14"/>
  <c r="E170" i="14"/>
  <c r="L36" i="6" s="1"/>
  <c r="E171" i="14"/>
  <c r="E172" i="14"/>
  <c r="L40" i="7" s="1"/>
  <c r="E173" i="14"/>
  <c r="E174" i="14"/>
  <c r="L45" i="7" s="1"/>
  <c r="E175" i="14"/>
  <c r="E176" i="14"/>
  <c r="L98" i="4" s="1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L82" i="5" s="1"/>
  <c r="E199" i="14"/>
  <c r="E2" i="14"/>
  <c r="L25" i="7" l="1"/>
  <c r="L88" i="7" s="1"/>
  <c r="L90" i="7"/>
  <c r="L89" i="7"/>
  <c r="L18" i="7"/>
  <c r="L73" i="6"/>
  <c r="L67" i="6"/>
  <c r="L61" i="6"/>
  <c r="L9" i="6"/>
  <c r="L23" i="6"/>
  <c r="L76" i="5"/>
  <c r="L69" i="5"/>
  <c r="L48" i="5"/>
  <c r="L24" i="5"/>
  <c r="L92" i="4"/>
  <c r="L16" i="4"/>
  <c r="L85" i="4"/>
  <c r="L23" i="4"/>
  <c r="L93" i="7" l="1"/>
  <c r="L143" i="6" s="1"/>
  <c r="L105" i="4"/>
  <c r="L139" i="6" s="1"/>
  <c r="L100" i="4"/>
  <c r="L100" i="5"/>
  <c r="L141" i="6" s="1"/>
  <c r="L97" i="5"/>
  <c r="D9" i="8" l="1"/>
  <c r="D7" i="8"/>
  <c r="E8" i="3"/>
  <c r="E15" i="3"/>
  <c r="D5" i="8" l="1"/>
  <c r="B10" i="3"/>
  <c r="A10" i="3"/>
  <c r="E10" i="3"/>
  <c r="M10" i="3" s="1"/>
  <c r="D92" i="4"/>
  <c r="E27" i="4"/>
  <c r="G27" i="9"/>
  <c r="G28" i="9" s="1"/>
  <c r="E80" i="5"/>
  <c r="E73" i="5"/>
  <c r="F41" i="1"/>
  <c r="G41" i="1"/>
  <c r="H41" i="1"/>
  <c r="I41" i="1"/>
  <c r="J41" i="1"/>
  <c r="K41" i="1"/>
  <c r="L41" i="1"/>
  <c r="F40" i="1"/>
  <c r="G40" i="1"/>
  <c r="H40" i="1"/>
  <c r="I40" i="1"/>
  <c r="J40" i="1"/>
  <c r="K40" i="1"/>
  <c r="L40" i="1"/>
  <c r="D41" i="1"/>
  <c r="D40" i="1"/>
  <c r="F18" i="1"/>
  <c r="G18" i="1"/>
  <c r="H18" i="1"/>
  <c r="I18" i="1"/>
  <c r="J18" i="1"/>
  <c r="K18" i="1"/>
  <c r="F11" i="1"/>
  <c r="G11" i="1"/>
  <c r="H11" i="1"/>
  <c r="I11" i="1"/>
  <c r="J11" i="1"/>
  <c r="K11" i="1"/>
  <c r="E37" i="5"/>
  <c r="K41" i="6"/>
  <c r="L41" i="6"/>
  <c r="L51" i="4" l="1"/>
  <c r="E89" i="4"/>
  <c r="B89" i="4"/>
  <c r="A89" i="4"/>
  <c r="L61" i="4"/>
  <c r="E81" i="4"/>
  <c r="M81" i="4" s="1"/>
  <c r="L102" i="4" l="1"/>
  <c r="M89" i="4"/>
  <c r="A9" i="3" l="1"/>
  <c r="E9" i="3"/>
  <c r="M9" i="3" s="1"/>
  <c r="B9" i="3"/>
  <c r="E108" i="6"/>
  <c r="M108" i="6" l="1"/>
  <c r="B44" i="7"/>
  <c r="B39" i="7"/>
  <c r="I12" i="2"/>
  <c r="B80" i="5"/>
  <c r="A80" i="5"/>
  <c r="F81" i="6"/>
  <c r="G81" i="6"/>
  <c r="H81" i="6"/>
  <c r="I81" i="6"/>
  <c r="J81" i="6"/>
  <c r="K81" i="6"/>
  <c r="L81" i="6"/>
  <c r="F61" i="6"/>
  <c r="G61" i="6"/>
  <c r="H61" i="6"/>
  <c r="I61" i="6"/>
  <c r="J61" i="6"/>
  <c r="K61" i="6"/>
  <c r="F55" i="6"/>
  <c r="G55" i="6"/>
  <c r="H55" i="6"/>
  <c r="K55" i="6"/>
  <c r="L55" i="6"/>
  <c r="F48" i="6"/>
  <c r="G48" i="6"/>
  <c r="H48" i="6"/>
  <c r="K48" i="6"/>
  <c r="L48" i="6"/>
  <c r="F31" i="6"/>
  <c r="G31" i="6"/>
  <c r="H31" i="6"/>
  <c r="I31" i="6"/>
  <c r="J31" i="6"/>
  <c r="K31" i="6"/>
  <c r="L31" i="6"/>
  <c r="F23" i="6"/>
  <c r="H23" i="6"/>
  <c r="F16" i="6"/>
  <c r="G16" i="6"/>
  <c r="H16" i="6"/>
  <c r="I16" i="6"/>
  <c r="L16" i="6"/>
  <c r="F9" i="6"/>
  <c r="G9" i="6"/>
  <c r="H9" i="6"/>
  <c r="S99" i="11"/>
  <c r="S98" i="11"/>
  <c r="S96" i="11"/>
  <c r="S97" i="11"/>
  <c r="B47" i="6"/>
  <c r="B46" i="6"/>
  <c r="B35" i="6"/>
  <c r="B40" i="6"/>
  <c r="D48" i="6"/>
  <c r="H54" i="8" s="1"/>
  <c r="E40" i="6"/>
  <c r="M40" i="6" s="1"/>
  <c r="F36" i="6"/>
  <c r="D36" i="6"/>
  <c r="F54" i="8" s="1"/>
  <c r="K36" i="6"/>
  <c r="J36" i="6"/>
  <c r="I36" i="6"/>
  <c r="E35" i="6"/>
  <c r="E36" i="6" s="1"/>
  <c r="E28" i="6"/>
  <c r="E29" i="6"/>
  <c r="B29" i="6"/>
  <c r="B30" i="6"/>
  <c r="B28" i="6"/>
  <c r="B27" i="6"/>
  <c r="B22" i="6"/>
  <c r="B21" i="6"/>
  <c r="B20" i="6"/>
  <c r="B14" i="6"/>
  <c r="B15" i="6"/>
  <c r="B13" i="6"/>
  <c r="B8" i="6"/>
  <c r="B7" i="6"/>
  <c r="B74" i="5"/>
  <c r="B73" i="5"/>
  <c r="A74" i="5"/>
  <c r="A73" i="5"/>
  <c r="B67" i="5"/>
  <c r="B66" i="5"/>
  <c r="A67" i="5"/>
  <c r="A66" i="5"/>
  <c r="B30" i="5"/>
  <c r="B31" i="5"/>
  <c r="B32" i="5"/>
  <c r="B33" i="5"/>
  <c r="B34" i="5"/>
  <c r="B35" i="5"/>
  <c r="B36" i="5"/>
  <c r="B37" i="5"/>
  <c r="B38" i="5"/>
  <c r="B39" i="5"/>
  <c r="B40" i="5"/>
  <c r="B41" i="5"/>
  <c r="B47" i="5"/>
  <c r="B29" i="5"/>
  <c r="A30" i="5"/>
  <c r="A31" i="5"/>
  <c r="A32" i="5"/>
  <c r="A33" i="5"/>
  <c r="A34" i="5"/>
  <c r="A35" i="5"/>
  <c r="A36" i="5"/>
  <c r="A37" i="5"/>
  <c r="A38" i="5"/>
  <c r="A39" i="5"/>
  <c r="A40" i="5"/>
  <c r="A41" i="5"/>
  <c r="A47" i="5"/>
  <c r="A29" i="5"/>
  <c r="B21" i="5"/>
  <c r="B22" i="5"/>
  <c r="B20" i="5"/>
  <c r="B19" i="5"/>
  <c r="B18" i="5"/>
  <c r="B17" i="5"/>
  <c r="B14" i="5"/>
  <c r="B15" i="5"/>
  <c r="B16" i="5"/>
  <c r="B13" i="5"/>
  <c r="A21" i="5"/>
  <c r="A22" i="5"/>
  <c r="A20" i="5"/>
  <c r="A19" i="5"/>
  <c r="A18" i="5"/>
  <c r="A17" i="5"/>
  <c r="A14" i="5"/>
  <c r="A15" i="5"/>
  <c r="A16" i="5"/>
  <c r="A13" i="5"/>
  <c r="B7" i="5"/>
  <c r="A7" i="5"/>
  <c r="B27" i="4"/>
  <c r="A27" i="4"/>
  <c r="B21" i="4"/>
  <c r="A21" i="4"/>
  <c r="B20" i="4"/>
  <c r="A20" i="4"/>
  <c r="B14" i="4"/>
  <c r="B13" i="4"/>
  <c r="A14" i="4"/>
  <c r="A13" i="4"/>
  <c r="B7" i="4"/>
  <c r="A7" i="4"/>
  <c r="I16" i="2" l="1"/>
  <c r="I18" i="2"/>
  <c r="M28" i="6"/>
  <c r="M35" i="6"/>
  <c r="M29" i="6"/>
  <c r="I15" i="2" l="1"/>
  <c r="I137" i="6"/>
  <c r="M36" i="6"/>
  <c r="A44" i="7" l="1"/>
  <c r="A39" i="7"/>
  <c r="B34" i="7"/>
  <c r="A34" i="7"/>
  <c r="B29" i="7"/>
  <c r="A29" i="7"/>
  <c r="B24" i="7"/>
  <c r="A24" i="7"/>
  <c r="B23" i="7"/>
  <c r="B22" i="7"/>
  <c r="A23" i="7"/>
  <c r="A22" i="7"/>
  <c r="B15" i="7"/>
  <c r="B16" i="7"/>
  <c r="B14" i="7"/>
  <c r="B13" i="7"/>
  <c r="B12" i="7"/>
  <c r="B11" i="7"/>
  <c r="B10" i="7"/>
  <c r="B8" i="7"/>
  <c r="B9" i="7"/>
  <c r="B7" i="7"/>
  <c r="A15" i="7"/>
  <c r="A16" i="7"/>
  <c r="A14" i="7"/>
  <c r="A13" i="7"/>
  <c r="A12" i="7"/>
  <c r="A11" i="7"/>
  <c r="A10" i="7"/>
  <c r="A8" i="7"/>
  <c r="A9" i="7"/>
  <c r="A7" i="7"/>
  <c r="E24" i="7" l="1"/>
  <c r="M24" i="7" s="1"/>
  <c r="B78" i="6"/>
  <c r="B79" i="6"/>
  <c r="B80" i="6"/>
  <c r="B77" i="6"/>
  <c r="B72" i="6"/>
  <c r="B71" i="6"/>
  <c r="B66" i="6"/>
  <c r="B65" i="6"/>
  <c r="B60" i="6"/>
  <c r="B59" i="6"/>
  <c r="J48" i="6"/>
  <c r="E47" i="6"/>
  <c r="E46" i="6"/>
  <c r="E21" i="6"/>
  <c r="D16" i="6"/>
  <c r="K16" i="6"/>
  <c r="P97" i="5"/>
  <c r="E74" i="5"/>
  <c r="E14" i="5"/>
  <c r="E15" i="5"/>
  <c r="E16" i="5"/>
  <c r="E17" i="5"/>
  <c r="E18" i="5"/>
  <c r="E19" i="5"/>
  <c r="E20" i="5"/>
  <c r="E21" i="5"/>
  <c r="E22" i="5"/>
  <c r="B15" i="3"/>
  <c r="A15" i="3"/>
  <c r="B8" i="3"/>
  <c r="A8" i="3"/>
  <c r="B9" i="2"/>
  <c r="B96" i="4"/>
  <c r="A96" i="4"/>
  <c r="B91" i="4"/>
  <c r="B90" i="4"/>
  <c r="A90" i="4"/>
  <c r="A91" i="4"/>
  <c r="A79" i="4"/>
  <c r="A80" i="4"/>
  <c r="A82" i="4"/>
  <c r="A83" i="4"/>
  <c r="B79" i="4"/>
  <c r="B80" i="4"/>
  <c r="B82" i="4"/>
  <c r="B83" i="4"/>
  <c r="B78" i="4"/>
  <c r="A78" i="4"/>
  <c r="C54" i="8" l="1"/>
  <c r="E48" i="6"/>
  <c r="E20" i="6"/>
  <c r="M19" i="5"/>
  <c r="M74" i="5"/>
  <c r="M13" i="6"/>
  <c r="M14" i="6"/>
  <c r="M17" i="5"/>
  <c r="M22" i="5"/>
  <c r="M20" i="5"/>
  <c r="M18" i="5"/>
  <c r="M16" i="5"/>
  <c r="M14" i="5"/>
  <c r="M21" i="5"/>
  <c r="M15" i="5"/>
  <c r="E79" i="4"/>
  <c r="E80" i="4"/>
  <c r="E82" i="4"/>
  <c r="E83" i="4"/>
  <c r="E78" i="4"/>
  <c r="A22" i="1"/>
  <c r="A16" i="1"/>
  <c r="A15" i="1"/>
  <c r="A9" i="1"/>
  <c r="A8" i="1"/>
  <c r="A9" i="2"/>
  <c r="M9" i="2"/>
  <c r="L2" i="11"/>
  <c r="L94" i="11"/>
  <c r="L96" i="11"/>
  <c r="S54" i="11"/>
  <c r="S51" i="11"/>
  <c r="S50" i="11"/>
  <c r="S101" i="11" s="1"/>
  <c r="G2" i="11"/>
  <c r="M79" i="4" l="1"/>
  <c r="M82" i="4"/>
  <c r="M80" i="4"/>
  <c r="M83" i="4"/>
  <c r="M2" i="11"/>
  <c r="D18" i="7" l="1"/>
  <c r="I83" i="7"/>
  <c r="I77" i="7"/>
  <c r="I54" i="6"/>
  <c r="I55" i="6" s="1"/>
  <c r="I152" i="6" s="1"/>
  <c r="I9" i="6"/>
  <c r="L87" i="7" l="1"/>
  <c r="J73" i="6"/>
  <c r="J67" i="6"/>
  <c r="J55" i="6"/>
  <c r="J41" i="6"/>
  <c r="H33" i="13"/>
  <c r="H32" i="13"/>
  <c r="H31" i="13"/>
  <c r="J9" i="6" s="1"/>
  <c r="H30" i="13"/>
  <c r="H29" i="13"/>
  <c r="H28" i="13"/>
  <c r="H27" i="13"/>
  <c r="H26" i="13"/>
  <c r="H19" i="13"/>
  <c r="H18" i="13"/>
  <c r="H17" i="13"/>
  <c r="H16" i="13"/>
  <c r="H15" i="13"/>
  <c r="J23" i="6" s="1"/>
  <c r="H14" i="13"/>
  <c r="H13" i="13"/>
  <c r="H12" i="13"/>
  <c r="H11" i="13"/>
  <c r="H10" i="13"/>
  <c r="H9" i="13"/>
  <c r="J130" i="6" l="1"/>
  <c r="J16" i="6"/>
  <c r="J123" i="6" s="1"/>
  <c r="E82" i="5"/>
  <c r="E80" i="6"/>
  <c r="M80" i="6" s="1"/>
  <c r="E79" i="6"/>
  <c r="M79" i="6" s="1"/>
  <c r="E78" i="6"/>
  <c r="E77" i="6"/>
  <c r="M77" i="6" s="1"/>
  <c r="E72" i="6"/>
  <c r="M72" i="6" s="1"/>
  <c r="E71" i="6"/>
  <c r="I32" i="8"/>
  <c r="H32" i="8"/>
  <c r="E32" i="8"/>
  <c r="C32" i="8"/>
  <c r="H82" i="5"/>
  <c r="O96" i="11"/>
  <c r="O94" i="11"/>
  <c r="L45" i="8"/>
  <c r="L49" i="8" s="1"/>
  <c r="L43" i="8"/>
  <c r="K82" i="5"/>
  <c r="J82" i="5"/>
  <c r="I82" i="5"/>
  <c r="G82" i="5"/>
  <c r="F82" i="5"/>
  <c r="D82" i="5"/>
  <c r="E66" i="6"/>
  <c r="M66" i="6" s="1"/>
  <c r="E60" i="6"/>
  <c r="M60" i="6" s="1"/>
  <c r="F26" i="8"/>
  <c r="E26" i="8"/>
  <c r="D26" i="8"/>
  <c r="C26" i="8"/>
  <c r="J43" i="8"/>
  <c r="I43" i="8"/>
  <c r="G43" i="8"/>
  <c r="F43" i="8"/>
  <c r="E43" i="8"/>
  <c r="D43" i="8"/>
  <c r="C43" i="8"/>
  <c r="E52" i="8"/>
  <c r="F57" i="8"/>
  <c r="E57" i="8"/>
  <c r="D57" i="8"/>
  <c r="C57" i="8"/>
  <c r="C66" i="8"/>
  <c r="M62" i="8"/>
  <c r="L62" i="8"/>
  <c r="K62" i="8"/>
  <c r="J62" i="8"/>
  <c r="I62" i="8"/>
  <c r="H62" i="8"/>
  <c r="G62" i="8"/>
  <c r="F62" i="8"/>
  <c r="C14" i="8"/>
  <c r="F3" i="8"/>
  <c r="E3" i="8"/>
  <c r="D3" i="8"/>
  <c r="C3" i="8"/>
  <c r="D22" i="6"/>
  <c r="E59" i="8" s="1"/>
  <c r="E16" i="6"/>
  <c r="O90" i="11"/>
  <c r="O91" i="11"/>
  <c r="O92" i="11"/>
  <c r="O93" i="11"/>
  <c r="O95" i="11"/>
  <c r="O97" i="11"/>
  <c r="O98" i="11"/>
  <c r="O99" i="11"/>
  <c r="O100" i="11"/>
  <c r="J150" i="6" l="1"/>
  <c r="J142" i="6" s="1"/>
  <c r="G23" i="6"/>
  <c r="D23" i="6"/>
  <c r="E30" i="6"/>
  <c r="M30" i="6" s="1"/>
  <c r="D31" i="6"/>
  <c r="J132" i="6"/>
  <c r="D9" i="6"/>
  <c r="B7" i="8"/>
  <c r="L47" i="8"/>
  <c r="M80" i="5"/>
  <c r="C64" i="8"/>
  <c r="B9" i="8"/>
  <c r="M8" i="6"/>
  <c r="J151" i="6" l="1"/>
  <c r="D59" i="8"/>
  <c r="M82" i="5"/>
  <c r="D81" i="6"/>
  <c r="M54" i="8" s="1"/>
  <c r="M78" i="6"/>
  <c r="M81" i="6" s="1"/>
  <c r="K73" i="6"/>
  <c r="I73" i="6"/>
  <c r="H73" i="6"/>
  <c r="G73" i="6"/>
  <c r="F73" i="6"/>
  <c r="D73" i="6"/>
  <c r="L54" i="8" s="1"/>
  <c r="E73" i="6"/>
  <c r="K67" i="6"/>
  <c r="I67" i="6"/>
  <c r="H67" i="6"/>
  <c r="G67" i="6"/>
  <c r="F67" i="6"/>
  <c r="D67" i="6"/>
  <c r="K54" i="8" s="1"/>
  <c r="E65" i="6"/>
  <c r="E67" i="6" s="1"/>
  <c r="D61" i="6"/>
  <c r="J54" i="8" s="1"/>
  <c r="E59" i="6"/>
  <c r="E61" i="6" s="1"/>
  <c r="O73" i="11"/>
  <c r="M73" i="11"/>
  <c r="G73" i="11"/>
  <c r="O72" i="11"/>
  <c r="M72" i="11"/>
  <c r="G72" i="11"/>
  <c r="O71" i="11"/>
  <c r="M71" i="11"/>
  <c r="G71" i="11"/>
  <c r="Q82" i="11"/>
  <c r="O82" i="11"/>
  <c r="M82" i="11"/>
  <c r="G82" i="11"/>
  <c r="Q81" i="11"/>
  <c r="O81" i="11"/>
  <c r="M81" i="11"/>
  <c r="G81" i="11"/>
  <c r="O56" i="11"/>
  <c r="M56" i="11"/>
  <c r="G56" i="11"/>
  <c r="O55" i="11"/>
  <c r="M55" i="11"/>
  <c r="G55" i="11"/>
  <c r="O54" i="11"/>
  <c r="M54" i="11"/>
  <c r="G54" i="11"/>
  <c r="Q86" i="11"/>
  <c r="O86" i="11"/>
  <c r="M86" i="11"/>
  <c r="G86" i="11"/>
  <c r="Q42" i="11"/>
  <c r="O42" i="11"/>
  <c r="M42" i="11"/>
  <c r="G42" i="11"/>
  <c r="Q41" i="11"/>
  <c r="O41" i="11"/>
  <c r="M41" i="11"/>
  <c r="G41" i="11"/>
  <c r="Q40" i="11"/>
  <c r="O40" i="11"/>
  <c r="M40" i="11"/>
  <c r="G40" i="11"/>
  <c r="Q39" i="11"/>
  <c r="O39" i="11"/>
  <c r="M39" i="11"/>
  <c r="G39" i="11"/>
  <c r="Q28" i="11"/>
  <c r="O28" i="11"/>
  <c r="M28" i="11"/>
  <c r="G28" i="11"/>
  <c r="Q27" i="11"/>
  <c r="O27" i="11"/>
  <c r="M27" i="11"/>
  <c r="G27" i="11"/>
  <c r="Q26" i="11"/>
  <c r="O26" i="11"/>
  <c r="M26" i="11"/>
  <c r="G26" i="11"/>
  <c r="Q25" i="11"/>
  <c r="O25" i="11"/>
  <c r="M25" i="11"/>
  <c r="G25" i="11"/>
  <c r="Q24" i="11"/>
  <c r="O24" i="11"/>
  <c r="M24" i="11"/>
  <c r="G24" i="11"/>
  <c r="Q79" i="11"/>
  <c r="O79" i="11"/>
  <c r="M79" i="11"/>
  <c r="G79" i="11"/>
  <c r="Q78" i="11"/>
  <c r="O78" i="11"/>
  <c r="M78" i="11"/>
  <c r="G78" i="11"/>
  <c r="Q77" i="11"/>
  <c r="O77" i="11"/>
  <c r="M77" i="11"/>
  <c r="G77" i="11"/>
  <c r="Q23" i="11"/>
  <c r="O23" i="11"/>
  <c r="M23" i="11"/>
  <c r="G23" i="11"/>
  <c r="Q22" i="11"/>
  <c r="O22" i="11"/>
  <c r="M22" i="11"/>
  <c r="G22" i="11"/>
  <c r="Q21" i="11"/>
  <c r="O21" i="11"/>
  <c r="M21" i="11"/>
  <c r="G21" i="11"/>
  <c r="Q20" i="11"/>
  <c r="O20" i="11"/>
  <c r="M20" i="11"/>
  <c r="G20" i="11"/>
  <c r="Q8" i="11"/>
  <c r="O8" i="11"/>
  <c r="M8" i="11"/>
  <c r="G8" i="11"/>
  <c r="O53" i="11"/>
  <c r="M47" i="6" s="1"/>
  <c r="M53" i="11"/>
  <c r="G53" i="11"/>
  <c r="O52" i="11"/>
  <c r="M52" i="11"/>
  <c r="G52" i="11"/>
  <c r="Q48" i="11"/>
  <c r="O48" i="11"/>
  <c r="M48" i="11"/>
  <c r="G48" i="11"/>
  <c r="Q47" i="11"/>
  <c r="O47" i="11"/>
  <c r="M47" i="11"/>
  <c r="G47" i="11"/>
  <c r="Q46" i="11"/>
  <c r="O46" i="11"/>
  <c r="M46" i="11"/>
  <c r="G46" i="11"/>
  <c r="Q19" i="11"/>
  <c r="O19" i="11"/>
  <c r="M19" i="11"/>
  <c r="G19" i="11"/>
  <c r="Q18" i="11"/>
  <c r="O18" i="11"/>
  <c r="M18" i="11"/>
  <c r="G18" i="11"/>
  <c r="Q17" i="11"/>
  <c r="O17" i="11"/>
  <c r="M17" i="11"/>
  <c r="G17" i="11"/>
  <c r="Q16" i="11"/>
  <c r="K9" i="6" s="1"/>
  <c r="O16" i="11"/>
  <c r="M16" i="11"/>
  <c r="G16" i="11"/>
  <c r="O70" i="11"/>
  <c r="M70" i="11"/>
  <c r="G70" i="11"/>
  <c r="Q80" i="11"/>
  <c r="O80" i="11"/>
  <c r="M80" i="11"/>
  <c r="G80" i="11"/>
  <c r="Q38" i="11"/>
  <c r="O38" i="11"/>
  <c r="M38" i="11"/>
  <c r="G38" i="11"/>
  <c r="O69" i="11"/>
  <c r="M69" i="11"/>
  <c r="G69" i="11"/>
  <c r="O74" i="11"/>
  <c r="M74" i="11"/>
  <c r="G74" i="11"/>
  <c r="Q87" i="11"/>
  <c r="O87" i="11"/>
  <c r="M87" i="11"/>
  <c r="G87" i="11"/>
  <c r="O68" i="11"/>
  <c r="M68" i="11"/>
  <c r="G68" i="11"/>
  <c r="O67" i="11"/>
  <c r="M67" i="11"/>
  <c r="G67" i="11"/>
  <c r="O66" i="11"/>
  <c r="M66" i="11"/>
  <c r="G66" i="11"/>
  <c r="O65" i="11"/>
  <c r="M65" i="11"/>
  <c r="G65" i="11"/>
  <c r="O76" i="11"/>
  <c r="M76" i="11"/>
  <c r="G76" i="11"/>
  <c r="Q83" i="11"/>
  <c r="O83" i="11"/>
  <c r="M20" i="6" s="1"/>
  <c r="M83" i="11"/>
  <c r="G83" i="11"/>
  <c r="Q85" i="11"/>
  <c r="O85" i="11"/>
  <c r="M85" i="11"/>
  <c r="G85" i="11"/>
  <c r="Q84" i="11"/>
  <c r="O84" i="11"/>
  <c r="M21" i="6" s="1"/>
  <c r="M84" i="11"/>
  <c r="G84" i="11"/>
  <c r="O64" i="11"/>
  <c r="M64" i="11"/>
  <c r="G64" i="11"/>
  <c r="O63" i="11"/>
  <c r="M63" i="11"/>
  <c r="G63" i="11"/>
  <c r="O62" i="11"/>
  <c r="M62" i="11"/>
  <c r="G62" i="11"/>
  <c r="O61" i="11"/>
  <c r="M61" i="11"/>
  <c r="G61" i="11"/>
  <c r="O60" i="11"/>
  <c r="M60" i="11"/>
  <c r="G60" i="11"/>
  <c r="O75" i="11"/>
  <c r="M75" i="11"/>
  <c r="G75" i="11"/>
  <c r="Q49" i="11"/>
  <c r="O49" i="11"/>
  <c r="M49" i="11"/>
  <c r="G49" i="11"/>
  <c r="Q45" i="11"/>
  <c r="O45" i="11"/>
  <c r="M45" i="11"/>
  <c r="G45" i="11"/>
  <c r="Q89" i="11"/>
  <c r="O89" i="11"/>
  <c r="M89" i="11"/>
  <c r="G89" i="11"/>
  <c r="Q88" i="11"/>
  <c r="O88" i="11"/>
  <c r="M88" i="11"/>
  <c r="G88" i="11"/>
  <c r="O59" i="11"/>
  <c r="M59" i="11"/>
  <c r="G59" i="11"/>
  <c r="O58" i="11"/>
  <c r="M58" i="11"/>
  <c r="G58" i="11"/>
  <c r="O57" i="11"/>
  <c r="M57" i="11"/>
  <c r="G57" i="11"/>
  <c r="Q51" i="11"/>
  <c r="O51" i="11"/>
  <c r="M51" i="11"/>
  <c r="G51" i="11"/>
  <c r="Q50" i="11"/>
  <c r="O50" i="11"/>
  <c r="M50" i="11"/>
  <c r="G50" i="11"/>
  <c r="Q2" i="11"/>
  <c r="O2" i="11"/>
  <c r="Q37" i="11"/>
  <c r="O37" i="11"/>
  <c r="M37" i="11"/>
  <c r="G37" i="11"/>
  <c r="Q36" i="11"/>
  <c r="O36" i="11"/>
  <c r="M36" i="11"/>
  <c r="G36" i="11"/>
  <c r="Q35" i="11"/>
  <c r="O35" i="11"/>
  <c r="M35" i="11"/>
  <c r="G35" i="11"/>
  <c r="Q34" i="11"/>
  <c r="O34" i="11"/>
  <c r="M34" i="11"/>
  <c r="G34" i="11"/>
  <c r="Q33" i="11"/>
  <c r="O33" i="11"/>
  <c r="M33" i="11"/>
  <c r="G33" i="11"/>
  <c r="Q32" i="11"/>
  <c r="O32" i="11"/>
  <c r="M32" i="11"/>
  <c r="G32" i="11"/>
  <c r="Q31" i="11"/>
  <c r="O31" i="11"/>
  <c r="M31" i="11"/>
  <c r="G31" i="11"/>
  <c r="Q30" i="11"/>
  <c r="O30" i="11"/>
  <c r="M30" i="11"/>
  <c r="G30" i="11"/>
  <c r="Q29" i="11"/>
  <c r="O29" i="11"/>
  <c r="M29" i="11"/>
  <c r="G29" i="11"/>
  <c r="Q15" i="11"/>
  <c r="O15" i="11"/>
  <c r="M15" i="11"/>
  <c r="G15" i="11"/>
  <c r="Q44" i="11"/>
  <c r="O44" i="11"/>
  <c r="M44" i="11"/>
  <c r="G44" i="11"/>
  <c r="Q7" i="11"/>
  <c r="O7" i="11"/>
  <c r="M7" i="11"/>
  <c r="G7" i="11"/>
  <c r="Q14" i="11"/>
  <c r="O14" i="11"/>
  <c r="M14" i="11"/>
  <c r="G14" i="11"/>
  <c r="Q13" i="11"/>
  <c r="O13" i="11"/>
  <c r="M13" i="11"/>
  <c r="G13" i="11"/>
  <c r="Q12" i="11"/>
  <c r="O12" i="11"/>
  <c r="M12" i="11"/>
  <c r="G12" i="11"/>
  <c r="Q11" i="11"/>
  <c r="O11" i="11"/>
  <c r="M11" i="11"/>
  <c r="G11" i="11"/>
  <c r="Q10" i="11"/>
  <c r="O10" i="11"/>
  <c r="M10" i="11"/>
  <c r="G10" i="11"/>
  <c r="Q9" i="11"/>
  <c r="O9" i="11"/>
  <c r="M9" i="11"/>
  <c r="G9" i="11"/>
  <c r="Q43" i="11"/>
  <c r="O43" i="11"/>
  <c r="M43" i="11"/>
  <c r="G43" i="11"/>
  <c r="Q6" i="11"/>
  <c r="O6" i="11"/>
  <c r="M6" i="11"/>
  <c r="G6" i="11"/>
  <c r="Q5" i="11"/>
  <c r="O5" i="11"/>
  <c r="M5" i="11"/>
  <c r="G5" i="11"/>
  <c r="Q4" i="11"/>
  <c r="O4" i="11"/>
  <c r="M4" i="11"/>
  <c r="G4" i="11"/>
  <c r="M3" i="11"/>
  <c r="G3" i="11"/>
  <c r="M46" i="6" l="1"/>
  <c r="M48" i="6" s="1"/>
  <c r="I48" i="6"/>
  <c r="K24" i="5"/>
  <c r="M15" i="6"/>
  <c r="M16" i="6" s="1"/>
  <c r="K23" i="6"/>
  <c r="I23" i="6"/>
  <c r="E81" i="6"/>
  <c r="M71" i="6"/>
  <c r="M65" i="6"/>
  <c r="M59" i="6"/>
  <c r="M61" i="6" s="1"/>
  <c r="E44" i="7"/>
  <c r="M44" i="7" s="1"/>
  <c r="D45" i="7"/>
  <c r="H66" i="8" s="1"/>
  <c r="H64" i="8" s="1"/>
  <c r="F45" i="7"/>
  <c r="G45" i="7"/>
  <c r="H45" i="7"/>
  <c r="I45" i="7"/>
  <c r="J45" i="7"/>
  <c r="K45" i="7"/>
  <c r="K40" i="7"/>
  <c r="J40" i="7"/>
  <c r="I40" i="7"/>
  <c r="H40" i="7"/>
  <c r="G40" i="7"/>
  <c r="F40" i="7"/>
  <c r="D40" i="7"/>
  <c r="G70" i="8" s="1"/>
  <c r="E39" i="7"/>
  <c r="E40" i="7" s="1"/>
  <c r="K35" i="7"/>
  <c r="J35" i="7"/>
  <c r="I35" i="7"/>
  <c r="H35" i="7"/>
  <c r="G35" i="7"/>
  <c r="F35" i="7"/>
  <c r="D35" i="7"/>
  <c r="F66" i="8" s="1"/>
  <c r="E34" i="7"/>
  <c r="E8" i="7"/>
  <c r="M8" i="7" s="1"/>
  <c r="E9" i="7"/>
  <c r="E10" i="7"/>
  <c r="E11" i="7"/>
  <c r="E12" i="7"/>
  <c r="E13" i="7"/>
  <c r="M13" i="7" s="1"/>
  <c r="E14" i="7"/>
  <c r="M14" i="7" s="1"/>
  <c r="K98" i="4"/>
  <c r="J98" i="4"/>
  <c r="I98" i="4"/>
  <c r="H98" i="4"/>
  <c r="G98" i="4"/>
  <c r="F98" i="4"/>
  <c r="D98" i="4"/>
  <c r="I34" i="8" s="1"/>
  <c r="E96" i="4"/>
  <c r="M96" i="4" s="1"/>
  <c r="E14" i="4"/>
  <c r="E7" i="4"/>
  <c r="M12" i="7" l="1"/>
  <c r="M9" i="7"/>
  <c r="E89" i="7"/>
  <c r="G64" i="8"/>
  <c r="M14" i="4"/>
  <c r="M7" i="4"/>
  <c r="I36" i="8"/>
  <c r="I38" i="8"/>
  <c r="I40" i="8"/>
  <c r="F64" i="8"/>
  <c r="M11" i="7"/>
  <c r="M10" i="7"/>
  <c r="M73" i="6"/>
  <c r="M67" i="6"/>
  <c r="M39" i="7"/>
  <c r="M40" i="7" s="1"/>
  <c r="E35" i="7"/>
  <c r="M45" i="7"/>
  <c r="E45" i="7"/>
  <c r="M34" i="7"/>
  <c r="M35" i="7" s="1"/>
  <c r="M98" i="4"/>
  <c r="E98" i="4"/>
  <c r="M89" i="7" l="1"/>
  <c r="K23" i="4"/>
  <c r="J23" i="4"/>
  <c r="I23" i="4"/>
  <c r="H23" i="4"/>
  <c r="G23" i="4"/>
  <c r="F23" i="4"/>
  <c r="D23" i="4"/>
  <c r="E28" i="8" s="1"/>
  <c r="E21" i="4"/>
  <c r="M21" i="4" s="1"/>
  <c r="E20" i="4"/>
  <c r="K29" i="4"/>
  <c r="J29" i="4"/>
  <c r="I29" i="4"/>
  <c r="H29" i="4"/>
  <c r="G29" i="4"/>
  <c r="F29" i="4"/>
  <c r="D29" i="4"/>
  <c r="F28" i="8" s="1"/>
  <c r="I76" i="5"/>
  <c r="K76" i="5"/>
  <c r="J76" i="5"/>
  <c r="H76" i="5"/>
  <c r="G76" i="5"/>
  <c r="F76" i="5"/>
  <c r="D76" i="5"/>
  <c r="J45" i="8" s="1"/>
  <c r="O75" i="5"/>
  <c r="E76" i="5"/>
  <c r="J49" i="8" l="1"/>
  <c r="J47" i="8"/>
  <c r="E23" i="4"/>
  <c r="M20" i="4"/>
  <c r="M27" i="4"/>
  <c r="E29" i="4"/>
  <c r="M73" i="5"/>
  <c r="M76" i="5" s="1"/>
  <c r="E30" i="5"/>
  <c r="E31" i="5"/>
  <c r="E32" i="5"/>
  <c r="E33" i="5"/>
  <c r="M33" i="5" s="1"/>
  <c r="E34" i="5"/>
  <c r="E35" i="5"/>
  <c r="E36" i="5"/>
  <c r="M37" i="5"/>
  <c r="E38" i="5"/>
  <c r="E39" i="5"/>
  <c r="E40" i="5"/>
  <c r="E41" i="5"/>
  <c r="M41" i="5" s="1"/>
  <c r="E47" i="5"/>
  <c r="K9" i="5"/>
  <c r="J9" i="5"/>
  <c r="I9" i="5"/>
  <c r="H9" i="5"/>
  <c r="G9" i="5"/>
  <c r="F9" i="5"/>
  <c r="D9" i="5"/>
  <c r="E7" i="5"/>
  <c r="C45" i="8" l="1"/>
  <c r="C49" i="8" s="1"/>
  <c r="M29" i="4"/>
  <c r="M23" i="4"/>
  <c r="M31" i="5"/>
  <c r="M47" i="5"/>
  <c r="M38" i="5"/>
  <c r="M34" i="5"/>
  <c r="M30" i="5"/>
  <c r="M35" i="5"/>
  <c r="M39" i="5"/>
  <c r="M40" i="5"/>
  <c r="M36" i="5"/>
  <c r="M32" i="5"/>
  <c r="M7" i="5"/>
  <c r="M9" i="5" s="1"/>
  <c r="E9" i="5"/>
  <c r="C47" i="8" l="1"/>
  <c r="J24" i="1" l="1"/>
  <c r="G55" i="12"/>
  <c r="G2" i="12"/>
  <c r="D64" i="7"/>
  <c r="K66" i="8" s="1"/>
  <c r="K64" i="8" s="1"/>
  <c r="D30" i="7"/>
  <c r="E66" i="8" s="1"/>
  <c r="E64" i="8" s="1"/>
  <c r="D25" i="7"/>
  <c r="D101" i="6"/>
  <c r="N54" i="8" s="1"/>
  <c r="D69" i="5"/>
  <c r="I45" i="8" s="1"/>
  <c r="D48" i="5"/>
  <c r="D24" i="5"/>
  <c r="D74" i="4"/>
  <c r="D59" i="4"/>
  <c r="D61" i="4" s="1"/>
  <c r="F127" i="1"/>
  <c r="F122" i="2"/>
  <c r="F127" i="3"/>
  <c r="F143" i="5"/>
  <c r="F130" i="7"/>
  <c r="E98" i="6"/>
  <c r="M98" i="6" s="1"/>
  <c r="E54" i="6"/>
  <c r="M54" i="6" s="1"/>
  <c r="G32" i="12"/>
  <c r="F32" i="12"/>
  <c r="D32" i="12"/>
  <c r="G31" i="12"/>
  <c r="F31" i="12"/>
  <c r="D31" i="12"/>
  <c r="L3" i="7"/>
  <c r="L3" i="5"/>
  <c r="L3" i="6"/>
  <c r="L135" i="6" s="1"/>
  <c r="J16" i="4"/>
  <c r="L3" i="4"/>
  <c r="L3" i="2"/>
  <c r="L3" i="3" s="1"/>
  <c r="G33" i="12"/>
  <c r="H33" i="12"/>
  <c r="G34" i="12"/>
  <c r="H34" i="12"/>
  <c r="G35" i="12"/>
  <c r="H35" i="12"/>
  <c r="G36" i="12"/>
  <c r="H36" i="12"/>
  <c r="G37" i="12"/>
  <c r="H37" i="12"/>
  <c r="G38" i="12"/>
  <c r="H38" i="12"/>
  <c r="G39" i="12"/>
  <c r="H39" i="12"/>
  <c r="G40" i="12"/>
  <c r="H40" i="12"/>
  <c r="G41" i="12"/>
  <c r="H41" i="12"/>
  <c r="G42" i="12"/>
  <c r="H42" i="12"/>
  <c r="G43" i="12"/>
  <c r="H43" i="12"/>
  <c r="G44" i="12"/>
  <c r="H44" i="12"/>
  <c r="G45" i="12"/>
  <c r="H45" i="12"/>
  <c r="G46" i="12"/>
  <c r="H46" i="12"/>
  <c r="G47" i="12"/>
  <c r="H47" i="12"/>
  <c r="G48" i="12"/>
  <c r="H48" i="12"/>
  <c r="G49" i="12"/>
  <c r="H49" i="12"/>
  <c r="G50" i="12"/>
  <c r="H50" i="12"/>
  <c r="G51" i="12"/>
  <c r="H51" i="12"/>
  <c r="G52" i="12"/>
  <c r="H52" i="12"/>
  <c r="G53" i="12"/>
  <c r="H53" i="12"/>
  <c r="G54" i="12"/>
  <c r="H54" i="12"/>
  <c r="H55" i="12"/>
  <c r="G56" i="12"/>
  <c r="H56" i="12"/>
  <c r="G57" i="12"/>
  <c r="H57" i="12"/>
  <c r="G58" i="12"/>
  <c r="H58" i="12"/>
  <c r="G59" i="12"/>
  <c r="H59" i="12"/>
  <c r="G60" i="12"/>
  <c r="H60" i="12"/>
  <c r="G61" i="12"/>
  <c r="H61" i="12"/>
  <c r="G62" i="12"/>
  <c r="H62" i="12"/>
  <c r="G63" i="12"/>
  <c r="H63" i="12"/>
  <c r="G64" i="12"/>
  <c r="H64" i="12"/>
  <c r="G65" i="12"/>
  <c r="H65" i="12"/>
  <c r="G66" i="12"/>
  <c r="H66" i="12"/>
  <c r="G67" i="12"/>
  <c r="H67" i="12"/>
  <c r="G68" i="12"/>
  <c r="H68" i="12"/>
  <c r="G69" i="12"/>
  <c r="H69" i="12"/>
  <c r="G70" i="12"/>
  <c r="H70" i="12"/>
  <c r="G71" i="12"/>
  <c r="H71" i="12"/>
  <c r="G72" i="12"/>
  <c r="H72" i="12"/>
  <c r="G73" i="12"/>
  <c r="H73" i="12"/>
  <c r="G74" i="12"/>
  <c r="H74" i="12"/>
  <c r="G75" i="12"/>
  <c r="H75" i="12"/>
  <c r="G76" i="12"/>
  <c r="H76" i="12"/>
  <c r="G77" i="12"/>
  <c r="H77" i="12"/>
  <c r="G78" i="12"/>
  <c r="H78" i="12"/>
  <c r="G79" i="12"/>
  <c r="H79" i="12"/>
  <c r="G80" i="12"/>
  <c r="H80" i="12"/>
  <c r="G81" i="12"/>
  <c r="H81" i="12"/>
  <c r="G82" i="12"/>
  <c r="H82" i="12"/>
  <c r="G83" i="12"/>
  <c r="H83" i="12"/>
  <c r="G84" i="12"/>
  <c r="H84" i="12"/>
  <c r="G85" i="12"/>
  <c r="H85" i="12"/>
  <c r="G86" i="12"/>
  <c r="H86" i="12"/>
  <c r="G87" i="12"/>
  <c r="H87" i="12"/>
  <c r="G88" i="12"/>
  <c r="H88" i="12"/>
  <c r="G89" i="12"/>
  <c r="H89" i="12"/>
  <c r="G90" i="12"/>
  <c r="H90" i="12"/>
  <c r="G91" i="12"/>
  <c r="H91" i="12"/>
  <c r="G92" i="12"/>
  <c r="H92" i="12"/>
  <c r="G93" i="12"/>
  <c r="H93" i="12"/>
  <c r="H99" i="12"/>
  <c r="H98" i="12"/>
  <c r="E95" i="12"/>
  <c r="E101" i="12" s="1"/>
  <c r="C95" i="12"/>
  <c r="B95" i="12"/>
  <c r="D94" i="12"/>
  <c r="H94" i="12" s="1"/>
  <c r="G30" i="12"/>
  <c r="F30" i="12"/>
  <c r="D30" i="12"/>
  <c r="G29" i="12"/>
  <c r="F29" i="12"/>
  <c r="D29" i="12"/>
  <c r="G28" i="12"/>
  <c r="F28" i="12"/>
  <c r="D28" i="12"/>
  <c r="G27" i="12"/>
  <c r="F27" i="12"/>
  <c r="D27" i="12"/>
  <c r="G26" i="12"/>
  <c r="F26" i="12"/>
  <c r="D26" i="12"/>
  <c r="G25" i="12"/>
  <c r="F25" i="12"/>
  <c r="D25" i="12"/>
  <c r="G24" i="12"/>
  <c r="F24" i="12"/>
  <c r="D24" i="12"/>
  <c r="G23" i="12"/>
  <c r="F23" i="12"/>
  <c r="D23" i="12"/>
  <c r="G22" i="12"/>
  <c r="F22" i="12"/>
  <c r="D22" i="12"/>
  <c r="G21" i="12"/>
  <c r="F21" i="12"/>
  <c r="D21" i="12"/>
  <c r="G20" i="12"/>
  <c r="F20" i="12"/>
  <c r="D20" i="12"/>
  <c r="G19" i="12"/>
  <c r="F19" i="12"/>
  <c r="D19" i="12"/>
  <c r="G18" i="12"/>
  <c r="F18" i="12"/>
  <c r="D18" i="12"/>
  <c r="G17" i="12"/>
  <c r="F17" i="12"/>
  <c r="D17" i="12"/>
  <c r="G16" i="12"/>
  <c r="F16" i="12"/>
  <c r="D16" i="12"/>
  <c r="G15" i="12"/>
  <c r="F15" i="12"/>
  <c r="L11" i="3" s="1"/>
  <c r="D15" i="12"/>
  <c r="G14" i="12"/>
  <c r="F14" i="12"/>
  <c r="D14" i="12"/>
  <c r="G13" i="12"/>
  <c r="F13" i="12"/>
  <c r="D13" i="12"/>
  <c r="G12" i="12"/>
  <c r="F12" i="12"/>
  <c r="D12" i="12"/>
  <c r="G11" i="12"/>
  <c r="F11" i="12"/>
  <c r="D11" i="12"/>
  <c r="G10" i="12"/>
  <c r="F10" i="12"/>
  <c r="D10" i="12"/>
  <c r="G9" i="12"/>
  <c r="F9" i="12"/>
  <c r="D9" i="12"/>
  <c r="G8" i="12"/>
  <c r="F8" i="12"/>
  <c r="D8" i="12"/>
  <c r="G7" i="12"/>
  <c r="F7" i="12"/>
  <c r="D7" i="12"/>
  <c r="G6" i="12"/>
  <c r="F6" i="12"/>
  <c r="D6" i="12"/>
  <c r="G5" i="12"/>
  <c r="F5" i="12"/>
  <c r="D5" i="12"/>
  <c r="G4" i="12"/>
  <c r="F4" i="12"/>
  <c r="D4" i="12"/>
  <c r="G3" i="12"/>
  <c r="F3" i="12"/>
  <c r="D3" i="12"/>
  <c r="F2" i="12"/>
  <c r="D2" i="12"/>
  <c r="K11" i="3"/>
  <c r="M147" i="6"/>
  <c r="E12" i="2"/>
  <c r="K12" i="2"/>
  <c r="J12" i="2"/>
  <c r="H12" i="2"/>
  <c r="G12" i="2"/>
  <c r="F12" i="2"/>
  <c r="D12" i="2"/>
  <c r="D18" i="2" s="1"/>
  <c r="D137" i="6" s="1"/>
  <c r="E22" i="6"/>
  <c r="I79" i="7"/>
  <c r="I94" i="7" s="1"/>
  <c r="I85" i="7"/>
  <c r="I95" i="7" s="1"/>
  <c r="I72" i="4"/>
  <c r="E91" i="4"/>
  <c r="E90" i="4"/>
  <c r="E62" i="8"/>
  <c r="D62" i="8"/>
  <c r="C62" i="8"/>
  <c r="E104" i="6"/>
  <c r="F104" i="6"/>
  <c r="G104" i="6"/>
  <c r="H104" i="6"/>
  <c r="I104" i="6"/>
  <c r="K104" i="6"/>
  <c r="L104" i="6"/>
  <c r="M104" i="6"/>
  <c r="E86" i="6"/>
  <c r="E62" i="7"/>
  <c r="M62" i="7" s="1"/>
  <c r="K64" i="7"/>
  <c r="I64" i="7"/>
  <c r="G64" i="7"/>
  <c r="J64" i="7"/>
  <c r="K52" i="7"/>
  <c r="J52" i="7"/>
  <c r="I52" i="7"/>
  <c r="G52" i="7"/>
  <c r="D52" i="7"/>
  <c r="I66" i="8" s="1"/>
  <c r="I64" i="8" s="1"/>
  <c r="F52" i="7"/>
  <c r="E50" i="7"/>
  <c r="E27" i="6"/>
  <c r="E100" i="6"/>
  <c r="M100" i="6" s="1"/>
  <c r="E99" i="6"/>
  <c r="M99" i="6" s="1"/>
  <c r="E97" i="6"/>
  <c r="M97" i="6" s="1"/>
  <c r="K85" i="4"/>
  <c r="I85" i="4"/>
  <c r="H85" i="4"/>
  <c r="G85" i="4"/>
  <c r="F85" i="4"/>
  <c r="D85" i="4"/>
  <c r="E24" i="1"/>
  <c r="K24" i="1"/>
  <c r="I24" i="1"/>
  <c r="H24" i="1"/>
  <c r="G24" i="1"/>
  <c r="F24" i="1"/>
  <c r="D24" i="1"/>
  <c r="J74" i="4"/>
  <c r="H74" i="4"/>
  <c r="G74" i="4"/>
  <c r="F74" i="4"/>
  <c r="K74" i="4"/>
  <c r="E72" i="4"/>
  <c r="E71" i="4"/>
  <c r="E70" i="4"/>
  <c r="E69" i="4"/>
  <c r="E68" i="4"/>
  <c r="E67" i="4"/>
  <c r="E66" i="4"/>
  <c r="K25" i="7"/>
  <c r="I25" i="7"/>
  <c r="G25" i="7"/>
  <c r="J25" i="7"/>
  <c r="E23" i="7"/>
  <c r="H25" i="7"/>
  <c r="E22" i="7"/>
  <c r="M22" i="7" s="1"/>
  <c r="I24" i="5"/>
  <c r="H24" i="5"/>
  <c r="G24" i="5"/>
  <c r="F24" i="5"/>
  <c r="J24" i="5"/>
  <c r="E13" i="5"/>
  <c r="K16" i="4"/>
  <c r="I16" i="4"/>
  <c r="H16" i="4"/>
  <c r="G16" i="4"/>
  <c r="F16" i="4"/>
  <c r="D16" i="4"/>
  <c r="D28" i="8" s="1"/>
  <c r="E13" i="4"/>
  <c r="E16" i="4" s="1"/>
  <c r="K79" i="7"/>
  <c r="J79" i="7"/>
  <c r="G79" i="7"/>
  <c r="D79" i="7"/>
  <c r="M78" i="7"/>
  <c r="O78" i="7" s="1"/>
  <c r="H79" i="7"/>
  <c r="F79" i="7"/>
  <c r="E77" i="7"/>
  <c r="K30" i="1"/>
  <c r="I30" i="1"/>
  <c r="H30" i="1"/>
  <c r="F30" i="1"/>
  <c r="D30" i="1"/>
  <c r="F11" i="8" s="1"/>
  <c r="F5" i="8" s="1"/>
  <c r="C19" i="8"/>
  <c r="D19" i="8"/>
  <c r="E7" i="7"/>
  <c r="E15" i="7"/>
  <c r="E16" i="7"/>
  <c r="G18" i="7"/>
  <c r="I18" i="7"/>
  <c r="J18" i="7"/>
  <c r="K18" i="7"/>
  <c r="E29" i="7"/>
  <c r="F30" i="7"/>
  <c r="I30" i="7"/>
  <c r="K30" i="7"/>
  <c r="E56" i="7"/>
  <c r="D58" i="7"/>
  <c r="D90" i="7" s="1"/>
  <c r="G58" i="7"/>
  <c r="G90" i="7" s="1"/>
  <c r="I58" i="7"/>
  <c r="I90" i="7" s="1"/>
  <c r="J58" i="7"/>
  <c r="J90" i="7" s="1"/>
  <c r="K58" i="7"/>
  <c r="K90" i="7" s="1"/>
  <c r="E83" i="7"/>
  <c r="M84" i="7"/>
  <c r="O84" i="7" s="1"/>
  <c r="D85" i="7"/>
  <c r="M66" i="8" s="1"/>
  <c r="F85" i="7"/>
  <c r="G85" i="7"/>
  <c r="H85" i="7"/>
  <c r="J85" i="7"/>
  <c r="K85" i="7"/>
  <c r="F41" i="6"/>
  <c r="D41" i="6"/>
  <c r="G41" i="6"/>
  <c r="H41" i="6"/>
  <c r="I41" i="6"/>
  <c r="I150" i="6" s="1"/>
  <c r="I142" i="6" s="1"/>
  <c r="E53" i="6"/>
  <c r="M53" i="6" s="1"/>
  <c r="D55" i="6"/>
  <c r="M92" i="6"/>
  <c r="E93" i="6"/>
  <c r="E94" i="6"/>
  <c r="E95" i="6"/>
  <c r="E96" i="6"/>
  <c r="M96" i="6" s="1"/>
  <c r="G101" i="6"/>
  <c r="I101" i="6"/>
  <c r="K101" i="6"/>
  <c r="L101" i="6"/>
  <c r="E109" i="6"/>
  <c r="E110" i="6"/>
  <c r="M115" i="6"/>
  <c r="O115" i="6" s="1"/>
  <c r="M116" i="6"/>
  <c r="O116" i="6" s="1"/>
  <c r="M118" i="6"/>
  <c r="O118" i="6" s="1"/>
  <c r="M119" i="6"/>
  <c r="O119" i="6" s="1"/>
  <c r="M120" i="6"/>
  <c r="O120" i="6" s="1"/>
  <c r="D121" i="6"/>
  <c r="E121" i="6"/>
  <c r="F121" i="6"/>
  <c r="G121" i="6"/>
  <c r="I121" i="6"/>
  <c r="K121" i="6"/>
  <c r="L121" i="6"/>
  <c r="E127" i="6"/>
  <c r="D128" i="6"/>
  <c r="C59" i="8" s="1"/>
  <c r="F128" i="6"/>
  <c r="F130" i="6" s="1"/>
  <c r="G128" i="6"/>
  <c r="G130" i="6" s="1"/>
  <c r="H128" i="6"/>
  <c r="H130" i="6" s="1"/>
  <c r="I128" i="6"/>
  <c r="I130" i="6" s="1"/>
  <c r="K128" i="6"/>
  <c r="K130" i="6" s="1"/>
  <c r="L128" i="6"/>
  <c r="L130" i="6" s="1"/>
  <c r="E29" i="5"/>
  <c r="F48" i="5"/>
  <c r="G48" i="5"/>
  <c r="H48" i="5"/>
  <c r="I48" i="5"/>
  <c r="K48" i="5"/>
  <c r="E52" i="5"/>
  <c r="E54" i="5" s="1"/>
  <c r="D54" i="5"/>
  <c r="F45" i="8" s="1"/>
  <c r="F54" i="5"/>
  <c r="G54" i="5"/>
  <c r="H54" i="5"/>
  <c r="I54" i="5"/>
  <c r="J54" i="5"/>
  <c r="K54" i="5"/>
  <c r="E59" i="5"/>
  <c r="M59" i="5" s="1"/>
  <c r="D61" i="5"/>
  <c r="G45" i="8" s="1"/>
  <c r="F61" i="5"/>
  <c r="G61" i="5"/>
  <c r="H61" i="5"/>
  <c r="I61" i="5"/>
  <c r="J61" i="5"/>
  <c r="K61" i="5"/>
  <c r="E66" i="5"/>
  <c r="E67" i="5"/>
  <c r="F69" i="5"/>
  <c r="G69" i="5"/>
  <c r="H69" i="5"/>
  <c r="I69" i="5"/>
  <c r="J69" i="5"/>
  <c r="K69" i="5"/>
  <c r="M86" i="5"/>
  <c r="M87" i="5"/>
  <c r="M88" i="5"/>
  <c r="M89" i="5"/>
  <c r="M90" i="5"/>
  <c r="M91" i="5"/>
  <c r="M92" i="5"/>
  <c r="F94" i="5"/>
  <c r="G94" i="5"/>
  <c r="H94" i="5"/>
  <c r="I94" i="5"/>
  <c r="J94" i="5"/>
  <c r="K94" i="5"/>
  <c r="D9" i="4"/>
  <c r="F9" i="4"/>
  <c r="G9" i="4"/>
  <c r="H9" i="4"/>
  <c r="I9" i="4"/>
  <c r="J9" i="4"/>
  <c r="K9" i="4"/>
  <c r="E33" i="4"/>
  <c r="M33" i="4" s="1"/>
  <c r="E34" i="4"/>
  <c r="F40" i="4"/>
  <c r="H40" i="4"/>
  <c r="E35" i="4"/>
  <c r="M35" i="4" s="1"/>
  <c r="E36" i="4"/>
  <c r="M36" i="4" s="1"/>
  <c r="E37" i="4"/>
  <c r="M37" i="4" s="1"/>
  <c r="E38" i="4"/>
  <c r="M38" i="4" s="1"/>
  <c r="M39" i="4"/>
  <c r="O39" i="4" s="1"/>
  <c r="D40" i="4"/>
  <c r="G28" i="8" s="1"/>
  <c r="G40" i="4"/>
  <c r="I40" i="4"/>
  <c r="J40" i="4"/>
  <c r="K40" i="4"/>
  <c r="M44" i="4"/>
  <c r="M45" i="4"/>
  <c r="M46" i="4"/>
  <c r="M47" i="4"/>
  <c r="M48" i="4"/>
  <c r="O48" i="4" s="1"/>
  <c r="E49" i="4"/>
  <c r="F49" i="4"/>
  <c r="G49" i="4"/>
  <c r="H49" i="4"/>
  <c r="I49" i="4"/>
  <c r="J49" i="4"/>
  <c r="K49" i="4"/>
  <c r="M57" i="4"/>
  <c r="M58" i="4"/>
  <c r="O58" i="4" s="1"/>
  <c r="E59" i="4"/>
  <c r="E61" i="4" s="1"/>
  <c r="F59" i="4"/>
  <c r="F61" i="4" s="1"/>
  <c r="G59" i="4"/>
  <c r="G61" i="4" s="1"/>
  <c r="H59" i="4"/>
  <c r="H61" i="4" s="1"/>
  <c r="I59" i="4"/>
  <c r="I61" i="4" s="1"/>
  <c r="J59" i="4"/>
  <c r="J61" i="4" s="1"/>
  <c r="K59" i="4"/>
  <c r="K61" i="4" s="1"/>
  <c r="E11" i="3"/>
  <c r="D11" i="3"/>
  <c r="F11" i="3"/>
  <c r="G11" i="3"/>
  <c r="H11" i="3"/>
  <c r="I11" i="3"/>
  <c r="J11" i="3"/>
  <c r="E16" i="3"/>
  <c r="D16" i="3"/>
  <c r="F16" i="3"/>
  <c r="G16" i="3"/>
  <c r="H16" i="3"/>
  <c r="I16" i="3"/>
  <c r="J16" i="3"/>
  <c r="D11" i="1"/>
  <c r="E40" i="1"/>
  <c r="D18" i="1"/>
  <c r="H18" i="7"/>
  <c r="F18" i="7"/>
  <c r="H64" i="7"/>
  <c r="F64" i="7"/>
  <c r="F25" i="7"/>
  <c r="F97" i="5" l="1"/>
  <c r="F141" i="6" s="1"/>
  <c r="G123" i="6"/>
  <c r="D45" i="1"/>
  <c r="E11" i="8"/>
  <c r="B11" i="8" s="1"/>
  <c r="D42" i="1"/>
  <c r="D43" i="1" s="1"/>
  <c r="D136" i="6" s="1"/>
  <c r="K105" i="4"/>
  <c r="K139" i="6" s="1"/>
  <c r="G105" i="4"/>
  <c r="G139" i="6" s="1"/>
  <c r="G93" i="7"/>
  <c r="G143" i="6" s="1"/>
  <c r="F42" i="1"/>
  <c r="F43" i="1" s="1"/>
  <c r="F136" i="6" s="1"/>
  <c r="F45" i="1"/>
  <c r="K42" i="1"/>
  <c r="K43" i="1" s="1"/>
  <c r="K136" i="6" s="1"/>
  <c r="K45" i="1"/>
  <c r="H42" i="1"/>
  <c r="H43" i="1" s="1"/>
  <c r="H136" i="6" s="1"/>
  <c r="H45" i="1"/>
  <c r="I42" i="1"/>
  <c r="I43" i="1" s="1"/>
  <c r="I136" i="6" s="1"/>
  <c r="I45" i="1"/>
  <c r="K22" i="3"/>
  <c r="K19" i="3"/>
  <c r="K138" i="6" s="1"/>
  <c r="G88" i="7"/>
  <c r="G87" i="7" s="1"/>
  <c r="G100" i="5"/>
  <c r="G141" i="6" s="1"/>
  <c r="H23" i="12"/>
  <c r="J22" i="3"/>
  <c r="F22" i="3"/>
  <c r="I123" i="6"/>
  <c r="D22" i="3"/>
  <c r="D138" i="6" s="1"/>
  <c r="H9" i="12"/>
  <c r="H31" i="12"/>
  <c r="I22" i="3"/>
  <c r="D88" i="7"/>
  <c r="D93" i="7"/>
  <c r="D143" i="6" s="1"/>
  <c r="K88" i="7"/>
  <c r="K87" i="7" s="1"/>
  <c r="F88" i="7"/>
  <c r="I93" i="7"/>
  <c r="I143" i="6" s="1"/>
  <c r="K93" i="7"/>
  <c r="K143" i="6" s="1"/>
  <c r="I88" i="7"/>
  <c r="I87" i="7" s="1"/>
  <c r="G54" i="8"/>
  <c r="D150" i="6"/>
  <c r="D142" i="6" s="1"/>
  <c r="K123" i="6"/>
  <c r="K132" i="6" s="1"/>
  <c r="K150" i="6"/>
  <c r="K142" i="6" s="1"/>
  <c r="I54" i="8"/>
  <c r="D123" i="6"/>
  <c r="B59" i="8"/>
  <c r="D130" i="6"/>
  <c r="L150" i="6"/>
  <c r="L142" i="6" s="1"/>
  <c r="L123" i="6"/>
  <c r="L132" i="6" s="1"/>
  <c r="G150" i="6"/>
  <c r="G142" i="6" s="1"/>
  <c r="F100" i="5"/>
  <c r="K100" i="5"/>
  <c r="K141" i="6" s="1"/>
  <c r="D100" i="5"/>
  <c r="D141" i="6" s="1"/>
  <c r="H100" i="5"/>
  <c r="H141" i="6" s="1"/>
  <c r="I100" i="5"/>
  <c r="I141" i="6" s="1"/>
  <c r="F105" i="4"/>
  <c r="F139" i="6" s="1"/>
  <c r="H105" i="4"/>
  <c r="H139" i="6" s="1"/>
  <c r="D100" i="4"/>
  <c r="D105" i="4"/>
  <c r="D139" i="6" s="1"/>
  <c r="G22" i="3"/>
  <c r="H22" i="3"/>
  <c r="L22" i="3"/>
  <c r="J16" i="2"/>
  <c r="J18" i="2"/>
  <c r="H16" i="2"/>
  <c r="H18" i="2"/>
  <c r="G16" i="2"/>
  <c r="G18" i="2"/>
  <c r="F16" i="2"/>
  <c r="F137" i="6" s="1"/>
  <c r="F18" i="2"/>
  <c r="K16" i="2"/>
  <c r="K18" i="2"/>
  <c r="E16" i="2"/>
  <c r="E18" i="2"/>
  <c r="E22" i="3"/>
  <c r="I19" i="3"/>
  <c r="I138" i="6" s="1"/>
  <c r="G19" i="3"/>
  <c r="G138" i="6" s="1"/>
  <c r="E111" i="6"/>
  <c r="E92" i="4"/>
  <c r="E41" i="1"/>
  <c r="L70" i="8"/>
  <c r="L64" i="8" s="1"/>
  <c r="M55" i="6"/>
  <c r="J51" i="4"/>
  <c r="H51" i="4"/>
  <c r="F51" i="4"/>
  <c r="C28" i="8"/>
  <c r="B28" i="8" s="1"/>
  <c r="D51" i="4"/>
  <c r="I51" i="4"/>
  <c r="G51" i="4"/>
  <c r="K51" i="4"/>
  <c r="F19" i="3"/>
  <c r="F138" i="6" s="1"/>
  <c r="I97" i="5"/>
  <c r="G97" i="5"/>
  <c r="E23" i="6"/>
  <c r="K97" i="5"/>
  <c r="E31" i="6"/>
  <c r="M27" i="6"/>
  <c r="E45" i="8"/>
  <c r="E49" i="8" s="1"/>
  <c r="D97" i="5"/>
  <c r="F100" i="4"/>
  <c r="G100" i="4"/>
  <c r="H97" i="5"/>
  <c r="H100" i="4"/>
  <c r="J70" i="8"/>
  <c r="H58" i="7"/>
  <c r="H90" i="7" s="1"/>
  <c r="D66" i="8"/>
  <c r="B66" i="8" s="1"/>
  <c r="E69" i="5"/>
  <c r="K100" i="4"/>
  <c r="C34" i="8"/>
  <c r="C40" i="8" s="1"/>
  <c r="E9" i="6"/>
  <c r="G30" i="1"/>
  <c r="G42" i="1" s="1"/>
  <c r="G43" i="1" s="1"/>
  <c r="G136" i="6" s="1"/>
  <c r="H52" i="7"/>
  <c r="H88" i="7" s="1"/>
  <c r="J19" i="3"/>
  <c r="J138" i="6" s="1"/>
  <c r="H10" i="12"/>
  <c r="H30" i="12"/>
  <c r="E34" i="8"/>
  <c r="G47" i="8"/>
  <c r="G49" i="8"/>
  <c r="I47" i="8"/>
  <c r="I49" i="8"/>
  <c r="M64" i="8"/>
  <c r="F49" i="8"/>
  <c r="F47" i="8"/>
  <c r="D45" i="8"/>
  <c r="M16" i="7"/>
  <c r="M7" i="7"/>
  <c r="M91" i="6"/>
  <c r="O91" i="6" s="1"/>
  <c r="M95" i="6"/>
  <c r="H6" i="12"/>
  <c r="H7" i="12"/>
  <c r="H8" i="12"/>
  <c r="H11" i="12"/>
  <c r="H13" i="12"/>
  <c r="H21" i="12"/>
  <c r="H101" i="6"/>
  <c r="F101" i="6"/>
  <c r="F123" i="6" s="1"/>
  <c r="F132" i="6" s="1"/>
  <c r="M94" i="6"/>
  <c r="M110" i="6"/>
  <c r="H121" i="6"/>
  <c r="M121" i="6"/>
  <c r="M90" i="6"/>
  <c r="O90" i="6" s="1"/>
  <c r="M89" i="6"/>
  <c r="O89" i="6" s="1"/>
  <c r="M93" i="6"/>
  <c r="M87" i="6"/>
  <c r="O87" i="6" s="1"/>
  <c r="M88" i="6"/>
  <c r="M86" i="6"/>
  <c r="E41" i="6"/>
  <c r="M109" i="6"/>
  <c r="H19" i="3"/>
  <c r="H138" i="6" s="1"/>
  <c r="M50" i="7"/>
  <c r="M52" i="7" s="1"/>
  <c r="E52" i="7"/>
  <c r="F58" i="7"/>
  <c r="F90" i="7" s="1"/>
  <c r="J30" i="7"/>
  <c r="J88" i="7" s="1"/>
  <c r="M83" i="7"/>
  <c r="M85" i="7" s="1"/>
  <c r="M56" i="7"/>
  <c r="M58" i="7" s="1"/>
  <c r="E58" i="7"/>
  <c r="E90" i="7" s="1"/>
  <c r="M70" i="4"/>
  <c r="J85" i="4"/>
  <c r="J105" i="4" s="1"/>
  <c r="J139" i="6" s="1"/>
  <c r="M49" i="4"/>
  <c r="M59" i="4"/>
  <c r="M61" i="4" s="1"/>
  <c r="M72" i="4"/>
  <c r="M67" i="4"/>
  <c r="M71" i="4"/>
  <c r="I74" i="4"/>
  <c r="M68" i="4"/>
  <c r="M69" i="4"/>
  <c r="H34" i="8"/>
  <c r="E85" i="4"/>
  <c r="M52" i="5"/>
  <c r="M54" i="5" s="1"/>
  <c r="M94" i="5"/>
  <c r="J48" i="5"/>
  <c r="J97" i="5" s="1"/>
  <c r="E30" i="7"/>
  <c r="E61" i="5"/>
  <c r="E55" i="6"/>
  <c r="D16" i="2"/>
  <c r="C16" i="8" s="1"/>
  <c r="B16" i="8" s="1"/>
  <c r="L19" i="3"/>
  <c r="L138" i="6" s="1"/>
  <c r="D19" i="3"/>
  <c r="E85" i="7"/>
  <c r="E19" i="3"/>
  <c r="E138" i="6" s="1"/>
  <c r="E18" i="7"/>
  <c r="J30" i="1"/>
  <c r="J42" i="1" s="1"/>
  <c r="J43" i="1" s="1"/>
  <c r="J136" i="6" s="1"/>
  <c r="H3" i="12"/>
  <c r="H12" i="12"/>
  <c r="H16" i="12"/>
  <c r="H20" i="12"/>
  <c r="H24" i="12"/>
  <c r="H32" i="12"/>
  <c r="G95" i="12"/>
  <c r="B103" i="12" s="1"/>
  <c r="M15" i="3"/>
  <c r="M16" i="3" s="1"/>
  <c r="H15" i="12"/>
  <c r="H14" i="12"/>
  <c r="H22" i="12"/>
  <c r="H27" i="12"/>
  <c r="M78" i="4"/>
  <c r="M90" i="4"/>
  <c r="M28" i="1"/>
  <c r="M30" i="1" s="1"/>
  <c r="L42" i="1"/>
  <c r="L43" i="1" s="1"/>
  <c r="L136" i="6" s="1"/>
  <c r="H25" i="12"/>
  <c r="H17" i="12"/>
  <c r="H4" i="12"/>
  <c r="H18" i="12"/>
  <c r="H26" i="12"/>
  <c r="B97" i="12"/>
  <c r="M91" i="4"/>
  <c r="M66" i="5"/>
  <c r="H19" i="12"/>
  <c r="H28" i="12"/>
  <c r="M8" i="3"/>
  <c r="M11" i="3" s="1"/>
  <c r="M67" i="5"/>
  <c r="M7" i="6"/>
  <c r="M13" i="5"/>
  <c r="H29" i="12"/>
  <c r="H5" i="12"/>
  <c r="H2" i="12"/>
  <c r="M29" i="5"/>
  <c r="E30" i="1"/>
  <c r="E42" i="1" s="1"/>
  <c r="E18" i="1"/>
  <c r="E40" i="4"/>
  <c r="M34" i="4"/>
  <c r="M40" i="4" s="1"/>
  <c r="E48" i="5"/>
  <c r="E79" i="7"/>
  <c r="M77" i="7"/>
  <c r="E25" i="7"/>
  <c r="M23" i="7"/>
  <c r="M25" i="7" s="1"/>
  <c r="M61" i="5"/>
  <c r="E64" i="7"/>
  <c r="E24" i="5"/>
  <c r="E101" i="6"/>
  <c r="M8" i="1"/>
  <c r="E11" i="1"/>
  <c r="E9" i="4"/>
  <c r="M66" i="4"/>
  <c r="E74" i="4"/>
  <c r="M22" i="1"/>
  <c r="M15" i="7"/>
  <c r="M127" i="6"/>
  <c r="E128" i="6"/>
  <c r="E5" i="8" l="1"/>
  <c r="B5" i="8" s="1"/>
  <c r="M138" i="6"/>
  <c r="F15" i="2"/>
  <c r="H15" i="2"/>
  <c r="H137" i="6"/>
  <c r="L45" i="1"/>
  <c r="K15" i="2"/>
  <c r="K137" i="6"/>
  <c r="G15" i="2"/>
  <c r="G137" i="6"/>
  <c r="J15" i="2"/>
  <c r="J137" i="6"/>
  <c r="H150" i="6"/>
  <c r="E15" i="2"/>
  <c r="E137" i="6"/>
  <c r="E45" i="1"/>
  <c r="E43" i="1"/>
  <c r="E136" i="6" s="1"/>
  <c r="M136" i="6" s="1"/>
  <c r="D132" i="6"/>
  <c r="D151" i="6" s="1"/>
  <c r="G45" i="1"/>
  <c r="J45" i="1"/>
  <c r="I100" i="4"/>
  <c r="I102" i="4" s="1"/>
  <c r="I106" i="4"/>
  <c r="I105" i="4"/>
  <c r="I139" i="6" s="1"/>
  <c r="F93" i="7"/>
  <c r="F143" i="6" s="1"/>
  <c r="E88" i="7"/>
  <c r="E87" i="7" s="1"/>
  <c r="B70" i="8"/>
  <c r="H93" i="7"/>
  <c r="H143" i="6" s="1"/>
  <c r="J93" i="7"/>
  <c r="J143" i="6" s="1"/>
  <c r="B54" i="8"/>
  <c r="L151" i="6"/>
  <c r="F150" i="6"/>
  <c r="H123" i="6"/>
  <c r="H132" i="6" s="1"/>
  <c r="H142" i="6" s="1"/>
  <c r="J100" i="5"/>
  <c r="J141" i="6" s="1"/>
  <c r="M22" i="3"/>
  <c r="L16" i="2"/>
  <c r="L18" i="2"/>
  <c r="M90" i="7"/>
  <c r="E100" i="5"/>
  <c r="E141" i="6" s="1"/>
  <c r="E123" i="6"/>
  <c r="E150" i="6"/>
  <c r="E142" i="6" s="1"/>
  <c r="E130" i="6"/>
  <c r="E93" i="7"/>
  <c r="E143" i="6" s="1"/>
  <c r="M31" i="6"/>
  <c r="E105" i="4"/>
  <c r="E139" i="6" s="1"/>
  <c r="K151" i="6"/>
  <c r="M111" i="6"/>
  <c r="H87" i="7"/>
  <c r="F87" i="7"/>
  <c r="M92" i="4"/>
  <c r="J87" i="7"/>
  <c r="M9" i="6"/>
  <c r="E51" i="4"/>
  <c r="J64" i="8"/>
  <c r="D64" i="8"/>
  <c r="E97" i="5"/>
  <c r="E47" i="8"/>
  <c r="D102" i="4"/>
  <c r="B45" i="8"/>
  <c r="B47" i="8" s="1"/>
  <c r="E100" i="4"/>
  <c r="J100" i="4"/>
  <c r="J102" i="4" s="1"/>
  <c r="C38" i="8"/>
  <c r="C36" i="8"/>
  <c r="H36" i="8"/>
  <c r="H40" i="8"/>
  <c r="H38" i="8"/>
  <c r="E40" i="8"/>
  <c r="E38" i="8"/>
  <c r="B34" i="8"/>
  <c r="E36" i="8"/>
  <c r="M12" i="2"/>
  <c r="D47" i="8"/>
  <c r="D49" i="8"/>
  <c r="I132" i="6"/>
  <c r="I151" i="6" s="1"/>
  <c r="D15" i="2"/>
  <c r="G132" i="6"/>
  <c r="M101" i="6"/>
  <c r="K102" i="4"/>
  <c r="F102" i="4"/>
  <c r="G102" i="4"/>
  <c r="H102" i="4"/>
  <c r="M41" i="6"/>
  <c r="M48" i="5"/>
  <c r="M22" i="6"/>
  <c r="M23" i="6" s="1"/>
  <c r="M69" i="5"/>
  <c r="M24" i="5"/>
  <c r="M85" i="4"/>
  <c r="M29" i="7"/>
  <c r="M9" i="1"/>
  <c r="M15" i="1"/>
  <c r="M13" i="4"/>
  <c r="M16" i="4" s="1"/>
  <c r="M79" i="7"/>
  <c r="M128" i="6"/>
  <c r="M24" i="1"/>
  <c r="M42" i="1" s="1"/>
  <c r="M74" i="4"/>
  <c r="M9" i="4"/>
  <c r="M64" i="7"/>
  <c r="M19" i="3"/>
  <c r="M18" i="7"/>
  <c r="M139" i="6" l="1"/>
  <c r="M143" i="6"/>
  <c r="M141" i="6"/>
  <c r="L15" i="2"/>
  <c r="L137" i="6"/>
  <c r="M137" i="6" s="1"/>
  <c r="F151" i="6"/>
  <c r="F142" i="6"/>
  <c r="M142" i="6" s="1"/>
  <c r="K145" i="6"/>
  <c r="M123" i="6"/>
  <c r="E132" i="6"/>
  <c r="E151" i="6" s="1"/>
  <c r="M105" i="4"/>
  <c r="B64" i="8"/>
  <c r="I5" i="8" s="1"/>
  <c r="M16" i="2"/>
  <c r="M15" i="2" s="1"/>
  <c r="M18" i="2"/>
  <c r="M100" i="5"/>
  <c r="M130" i="6"/>
  <c r="G145" i="6"/>
  <c r="G151" i="6"/>
  <c r="I145" i="6"/>
  <c r="H151" i="6"/>
  <c r="M41" i="1"/>
  <c r="M11" i="1"/>
  <c r="M51" i="4"/>
  <c r="M97" i="5"/>
  <c r="B38" i="8"/>
  <c r="B40" i="8"/>
  <c r="B36" i="8"/>
  <c r="J145" i="6"/>
  <c r="B49" i="8"/>
  <c r="H145" i="6"/>
  <c r="E102" i="4"/>
  <c r="M30" i="7"/>
  <c r="M88" i="7" s="1"/>
  <c r="M16" i="1"/>
  <c r="M40" i="1" s="1"/>
  <c r="M145" i="6" l="1"/>
  <c r="L145" i="6"/>
  <c r="F145" i="6"/>
  <c r="M43" i="1"/>
  <c r="E145" i="6"/>
  <c r="M93" i="7"/>
  <c r="M18" i="1"/>
  <c r="M45" i="1" s="1"/>
  <c r="M87" i="7"/>
  <c r="M132" i="6"/>
  <c r="M100" i="4" l="1"/>
  <c r="M102" i="4" s="1"/>
  <c r="M156" i="6" l="1"/>
  <c r="M151" i="6"/>
  <c r="M148" i="6"/>
  <c r="A8" i="9"/>
  <c r="N45" i="5" l="1"/>
  <c r="O45" i="5" s="1"/>
  <c r="N43" i="5"/>
  <c r="O43" i="5" s="1"/>
  <c r="N44" i="5"/>
  <c r="O44" i="5" s="1"/>
  <c r="N46" i="5"/>
  <c r="O46" i="5" s="1"/>
  <c r="N42" i="5"/>
  <c r="O42" i="5" s="1"/>
  <c r="N34" i="1"/>
  <c r="N36" i="1" s="1"/>
  <c r="O36" i="1" s="1"/>
  <c r="Q36" i="1" s="1"/>
  <c r="N16" i="3"/>
  <c r="O16" i="3" s="1"/>
  <c r="Q16" i="3" s="1"/>
  <c r="N115" i="6"/>
  <c r="N89" i="4"/>
  <c r="N10" i="3"/>
  <c r="O10" i="3" s="1"/>
  <c r="N116" i="6"/>
  <c r="N87" i="6"/>
  <c r="N87" i="5"/>
  <c r="O87" i="5" s="1"/>
  <c r="N33" i="5"/>
  <c r="O33" i="5" s="1"/>
  <c r="N29" i="7"/>
  <c r="O29" i="7" s="1"/>
  <c r="N90" i="4"/>
  <c r="O90" i="4" s="1"/>
  <c r="N127" i="6"/>
  <c r="O127" i="6" s="1"/>
  <c r="N92" i="6"/>
  <c r="O92" i="6" s="1"/>
  <c r="N8" i="6"/>
  <c r="O8" i="6" s="1"/>
  <c r="N7" i="7"/>
  <c r="N67" i="4"/>
  <c r="O67" i="4" s="1"/>
  <c r="N24" i="7"/>
  <c r="O24" i="7" s="1"/>
  <c r="N47" i="5"/>
  <c r="O47" i="5" s="1"/>
  <c r="N44" i="4"/>
  <c r="O44" i="4" s="1"/>
  <c r="N109" i="6"/>
  <c r="O109" i="6" s="1"/>
  <c r="N91" i="5"/>
  <c r="O91" i="5" s="1"/>
  <c r="N40" i="5"/>
  <c r="O40" i="5" s="1"/>
  <c r="N57" i="4"/>
  <c r="O57" i="4" s="1"/>
  <c r="N96" i="4"/>
  <c r="O96" i="4" s="1"/>
  <c r="N37" i="5"/>
  <c r="O37" i="5" s="1"/>
  <c r="N96" i="6"/>
  <c r="O96" i="6" s="1"/>
  <c r="N29" i="5"/>
  <c r="O29" i="5" s="1"/>
  <c r="N34" i="5"/>
  <c r="O34" i="5" s="1"/>
  <c r="N40" i="6"/>
  <c r="O40" i="6" s="1"/>
  <c r="N73" i="6"/>
  <c r="O73" i="6" s="1"/>
  <c r="Q73" i="6" s="1"/>
  <c r="N30" i="6"/>
  <c r="O30" i="6" s="1"/>
  <c r="N85" i="7"/>
  <c r="O85" i="7" s="1"/>
  <c r="N59" i="5"/>
  <c r="O59" i="5" s="1"/>
  <c r="N41" i="6"/>
  <c r="O41" i="6" s="1"/>
  <c r="Q41" i="6" s="1"/>
  <c r="N90" i="5"/>
  <c r="O90" i="5" s="1"/>
  <c r="N59" i="4"/>
  <c r="N69" i="4"/>
  <c r="O69" i="4" s="1"/>
  <c r="N77" i="6"/>
  <c r="N24" i="5"/>
  <c r="O24" i="5" s="1"/>
  <c r="N13" i="6"/>
  <c r="N85" i="4"/>
  <c r="O85" i="4" s="1"/>
  <c r="N128" i="6"/>
  <c r="O128" i="6" s="1"/>
  <c r="Q128" i="6" s="1"/>
  <c r="N13" i="4"/>
  <c r="N89" i="6"/>
  <c r="N118" i="6"/>
  <c r="N38" i="4"/>
  <c r="O38" i="4" s="1"/>
  <c r="N9" i="7"/>
  <c r="N100" i="6"/>
  <c r="O100" i="6" s="1"/>
  <c r="N50" i="7"/>
  <c r="O50" i="7" s="1"/>
  <c r="N104" i="6"/>
  <c r="O104" i="6" s="1"/>
  <c r="N47" i="6"/>
  <c r="O47" i="6" s="1"/>
  <c r="N36" i="4"/>
  <c r="O36" i="4" s="1"/>
  <c r="N28" i="6"/>
  <c r="O28" i="6" s="1"/>
  <c r="N78" i="4"/>
  <c r="O78" i="4" s="1"/>
  <c r="N31" i="5"/>
  <c r="O31" i="5" s="1"/>
  <c r="N110" i="6"/>
  <c r="O110" i="6" s="1"/>
  <c r="N36" i="5"/>
  <c r="O36" i="5" s="1"/>
  <c r="N66" i="4"/>
  <c r="O66" i="4" s="1"/>
  <c r="N8" i="3"/>
  <c r="O8" i="3" s="1"/>
  <c r="N68" i="4"/>
  <c r="O68" i="4" s="1"/>
  <c r="N22" i="7"/>
  <c r="O22" i="7" s="1"/>
  <c r="N46" i="4"/>
  <c r="O46" i="4" s="1"/>
  <c r="N14" i="4"/>
  <c r="O14" i="4" s="1"/>
  <c r="N78" i="6"/>
  <c r="O78" i="6" s="1"/>
  <c r="N32" i="5"/>
  <c r="O32" i="5" s="1"/>
  <c r="N94" i="5"/>
  <c r="O94" i="5" s="1"/>
  <c r="N29" i="6"/>
  <c r="O29" i="6" s="1"/>
  <c r="N80" i="4"/>
  <c r="O80" i="4" s="1"/>
  <c r="N92" i="5"/>
  <c r="O92" i="5" s="1"/>
  <c r="N21" i="5"/>
  <c r="O21" i="5" s="1"/>
  <c r="N60" i="6"/>
  <c r="O60" i="6" s="1"/>
  <c r="N70" i="4"/>
  <c r="O70" i="4" s="1"/>
  <c r="N52" i="7"/>
  <c r="O52" i="7" s="1"/>
  <c r="N66" i="5"/>
  <c r="O66" i="5" s="1"/>
  <c r="N119" i="6"/>
  <c r="N120" i="6"/>
  <c r="N79" i="6"/>
  <c r="O79" i="6" s="1"/>
  <c r="N12" i="7"/>
  <c r="N17" i="5"/>
  <c r="O17" i="5" s="1"/>
  <c r="N13" i="5"/>
  <c r="O13" i="5" s="1"/>
  <c r="N14" i="7"/>
  <c r="O14" i="7" s="1"/>
  <c r="N41" i="5"/>
  <c r="O41" i="5" s="1"/>
  <c r="N34" i="4"/>
  <c r="O34" i="4" s="1"/>
  <c r="N99" i="6"/>
  <c r="O99" i="6" s="1"/>
  <c r="N7" i="5"/>
  <c r="O7" i="5" s="1"/>
  <c r="N15" i="5"/>
  <c r="O15" i="5" s="1"/>
  <c r="N38" i="5"/>
  <c r="O38" i="5" s="1"/>
  <c r="N39" i="5"/>
  <c r="O39" i="5" s="1"/>
  <c r="N40" i="4"/>
  <c r="O40" i="4" s="1"/>
  <c r="N67" i="5"/>
  <c r="O67" i="5" s="1"/>
  <c r="N56" i="7"/>
  <c r="O56" i="7" s="1"/>
  <c r="N95" i="6"/>
  <c r="O95" i="6" s="1"/>
  <c r="N18" i="5"/>
  <c r="O18" i="5" s="1"/>
  <c r="N54" i="6"/>
  <c r="O54" i="6" s="1"/>
  <c r="N16" i="7"/>
  <c r="O16" i="7" s="1"/>
  <c r="N72" i="6"/>
  <c r="O72" i="6" s="1"/>
  <c r="N36" i="6"/>
  <c r="O36" i="6" s="1"/>
  <c r="N23" i="4"/>
  <c r="O23" i="4" s="1"/>
  <c r="N10" i="7"/>
  <c r="N83" i="4"/>
  <c r="O83" i="4" s="1"/>
  <c r="N9" i="1"/>
  <c r="N11" i="3"/>
  <c r="N22" i="6"/>
  <c r="N27" i="6"/>
  <c r="N90" i="6"/>
  <c r="N47" i="4"/>
  <c r="O47" i="4" s="1"/>
  <c r="N15" i="6"/>
  <c r="O15" i="6" s="1"/>
  <c r="N13" i="7"/>
  <c r="O13" i="7" s="1"/>
  <c r="N98" i="6"/>
  <c r="O98" i="6" s="1"/>
  <c r="N20" i="4"/>
  <c r="O20" i="4" s="1"/>
  <c r="N121" i="6"/>
  <c r="O121" i="6" s="1"/>
  <c r="N37" i="4"/>
  <c r="O37" i="4" s="1"/>
  <c r="N88" i="5"/>
  <c r="O88" i="5" s="1"/>
  <c r="N77" i="7"/>
  <c r="O77" i="7" s="1"/>
  <c r="N45" i="4"/>
  <c r="O45" i="4" s="1"/>
  <c r="N88" i="6"/>
  <c r="O88" i="6" s="1"/>
  <c r="N74" i="5"/>
  <c r="O74" i="5" s="1"/>
  <c r="N101" i="6"/>
  <c r="O101" i="6" s="1"/>
  <c r="Q101" i="6" s="1"/>
  <c r="N86" i="5"/>
  <c r="O86" i="5" s="1"/>
  <c r="N35" i="7"/>
  <c r="O35" i="7" s="1"/>
  <c r="N83" i="7"/>
  <c r="O83" i="7" s="1"/>
  <c r="N27" i="4"/>
  <c r="O27" i="4" s="1"/>
  <c r="N14" i="6"/>
  <c r="O14" i="6" s="1"/>
  <c r="N49" i="4"/>
  <c r="O49" i="4" s="1"/>
  <c r="N15" i="7"/>
  <c r="O15" i="7" s="1"/>
  <c r="N39" i="7"/>
  <c r="O39" i="7" s="1"/>
  <c r="N64" i="7"/>
  <c r="O64" i="7" s="1"/>
  <c r="N35" i="6"/>
  <c r="O35" i="6" s="1"/>
  <c r="N71" i="4"/>
  <c r="O71" i="4" s="1"/>
  <c r="N46" i="6"/>
  <c r="N79" i="7"/>
  <c r="O79" i="7" s="1"/>
  <c r="N82" i="5"/>
  <c r="O82" i="5" s="1"/>
  <c r="N20" i="6"/>
  <c r="N80" i="5"/>
  <c r="O80" i="5" s="1"/>
  <c r="N54" i="5"/>
  <c r="O54" i="5" s="1"/>
  <c r="N98" i="4"/>
  <c r="O98" i="4" s="1"/>
  <c r="N12" i="2"/>
  <c r="N18" i="2" s="1"/>
  <c r="N8" i="1"/>
  <c r="N91" i="6"/>
  <c r="N97" i="6"/>
  <c r="O97" i="6" s="1"/>
  <c r="N108" i="6"/>
  <c r="N9" i="2"/>
  <c r="O9" i="2" s="1"/>
  <c r="N62" i="7"/>
  <c r="O62" i="7" s="1"/>
  <c r="N19" i="5"/>
  <c r="O19" i="5" s="1"/>
  <c r="N34" i="7"/>
  <c r="O34" i="7" s="1"/>
  <c r="N30" i="5"/>
  <c r="O30" i="5" s="1"/>
  <c r="N9" i="3"/>
  <c r="O9" i="3" s="1"/>
  <c r="N81" i="4"/>
  <c r="O81" i="4" s="1"/>
  <c r="N89" i="5"/>
  <c r="O89" i="5" s="1"/>
  <c r="N33" i="4"/>
  <c r="O33" i="4" s="1"/>
  <c r="N23" i="7"/>
  <c r="O23" i="7" s="1"/>
  <c r="N29" i="4"/>
  <c r="O29" i="4" s="1"/>
  <c r="N79" i="4"/>
  <c r="O79" i="4" s="1"/>
  <c r="N30" i="7"/>
  <c r="O30" i="7" s="1"/>
  <c r="N58" i="7"/>
  <c r="O58" i="7" s="1"/>
  <c r="N25" i="7"/>
  <c r="O25" i="7" s="1"/>
  <c r="N21" i="4"/>
  <c r="O21" i="4" s="1"/>
  <c r="N8" i="7"/>
  <c r="O8" i="7" s="1"/>
  <c r="N16" i="1"/>
  <c r="N45" i="7"/>
  <c r="O45" i="7" s="1"/>
  <c r="N72" i="4"/>
  <c r="O72" i="4" s="1"/>
  <c r="N59" i="6"/>
  <c r="N76" i="5"/>
  <c r="O76" i="5" s="1"/>
  <c r="N69" i="5"/>
  <c r="O69" i="5" s="1"/>
  <c r="N22" i="1"/>
  <c r="N15" i="1"/>
  <c r="N48" i="5"/>
  <c r="O48" i="5" s="1"/>
  <c r="N9" i="5"/>
  <c r="N18" i="7"/>
  <c r="N52" i="5"/>
  <c r="O52" i="5" s="1"/>
  <c r="N93" i="6"/>
  <c r="O93" i="6" s="1"/>
  <c r="N15" i="3"/>
  <c r="N66" i="6"/>
  <c r="O66" i="6" s="1"/>
  <c r="N35" i="4"/>
  <c r="O35" i="4" s="1"/>
  <c r="N22" i="5"/>
  <c r="O22" i="5" s="1"/>
  <c r="N91" i="4"/>
  <c r="O91" i="4" s="1"/>
  <c r="N71" i="6"/>
  <c r="O71" i="6" s="1"/>
  <c r="N14" i="5"/>
  <c r="O14" i="5" s="1"/>
  <c r="N44" i="7"/>
  <c r="O44" i="7" s="1"/>
  <c r="N86" i="6"/>
  <c r="O86" i="6" s="1"/>
  <c r="N35" i="5"/>
  <c r="O35" i="5" s="1"/>
  <c r="N16" i="5"/>
  <c r="O16" i="5" s="1"/>
  <c r="N94" i="6"/>
  <c r="O94" i="6" s="1"/>
  <c r="N67" i="6"/>
  <c r="O67" i="6" s="1"/>
  <c r="Q67" i="6" s="1"/>
  <c r="N73" i="5"/>
  <c r="O73" i="5" s="1"/>
  <c r="N21" i="6"/>
  <c r="O21" i="6" s="1"/>
  <c r="N80" i="6"/>
  <c r="O80" i="6" s="1"/>
  <c r="N82" i="4"/>
  <c r="O82" i="4" s="1"/>
  <c r="N20" i="5"/>
  <c r="O20" i="5" s="1"/>
  <c r="N65" i="6"/>
  <c r="O65" i="6" s="1"/>
  <c r="N11" i="7"/>
  <c r="N61" i="5"/>
  <c r="O61" i="5" s="1"/>
  <c r="N7" i="6"/>
  <c r="N28" i="1"/>
  <c r="N7" i="4"/>
  <c r="N53" i="6"/>
  <c r="N40" i="7"/>
  <c r="O40" i="7" s="1"/>
  <c r="N74" i="4"/>
  <c r="O34" i="1" l="1"/>
  <c r="Q48" i="5"/>
  <c r="E44" i="8" s="1"/>
  <c r="E46" i="8" s="1"/>
  <c r="Q61" i="5"/>
  <c r="G44" i="8" s="1"/>
  <c r="G46" i="8" s="1"/>
  <c r="Q69" i="5"/>
  <c r="I44" i="8" s="1"/>
  <c r="I46" i="8" s="1"/>
  <c r="Q45" i="7"/>
  <c r="H63" i="8" s="1"/>
  <c r="Q25" i="7"/>
  <c r="D63" i="8" s="1"/>
  <c r="Q29" i="4"/>
  <c r="F27" i="8" s="1"/>
  <c r="F29" i="8" s="1"/>
  <c r="Q98" i="4"/>
  <c r="I33" i="8" s="1"/>
  <c r="I35" i="8" s="1"/>
  <c r="Q82" i="5"/>
  <c r="L44" i="8" s="1"/>
  <c r="L46" i="8" s="1"/>
  <c r="Q35" i="7"/>
  <c r="F63" i="8" s="1"/>
  <c r="Q85" i="7"/>
  <c r="M63" i="8" s="1"/>
  <c r="G4" i="8"/>
  <c r="G12" i="8" s="1"/>
  <c r="G6" i="8" s="1"/>
  <c r="Q36" i="6"/>
  <c r="F53" i="8" s="1"/>
  <c r="F55" i="8" s="1"/>
  <c r="Q40" i="4"/>
  <c r="G27" i="8" s="1"/>
  <c r="G29" i="8" s="1"/>
  <c r="Q52" i="7"/>
  <c r="I63" i="8" s="1"/>
  <c r="Q85" i="4"/>
  <c r="E33" i="8" s="1"/>
  <c r="E35" i="8" s="1"/>
  <c r="Q40" i="7"/>
  <c r="G63" i="8" s="1"/>
  <c r="Q30" i="7"/>
  <c r="E63" i="8" s="1"/>
  <c r="Q23" i="4"/>
  <c r="E27" i="8" s="1"/>
  <c r="E29" i="8" s="1"/>
  <c r="Q76" i="5"/>
  <c r="J44" i="8" s="1"/>
  <c r="J46" i="8" s="1"/>
  <c r="Q58" i="7"/>
  <c r="J63" i="8" s="1"/>
  <c r="Q54" i="5"/>
  <c r="F44" i="8" s="1"/>
  <c r="F46" i="8" s="1"/>
  <c r="Q79" i="7"/>
  <c r="L63" i="8" s="1"/>
  <c r="Q64" i="7"/>
  <c r="K63" i="8" s="1"/>
  <c r="Q24" i="5"/>
  <c r="D44" i="8" s="1"/>
  <c r="D46" i="8" s="1"/>
  <c r="C58" i="8"/>
  <c r="C60" i="8" s="1"/>
  <c r="O15" i="3"/>
  <c r="N22" i="3"/>
  <c r="O12" i="7"/>
  <c r="O90" i="7" s="1"/>
  <c r="N90" i="7"/>
  <c r="O9" i="7"/>
  <c r="N89" i="7"/>
  <c r="K53" i="8"/>
  <c r="K55" i="8" s="1"/>
  <c r="G53" i="8"/>
  <c r="L53" i="8"/>
  <c r="N53" i="8"/>
  <c r="O7" i="7"/>
  <c r="N88" i="7"/>
  <c r="N100" i="5"/>
  <c r="N93" i="7"/>
  <c r="O108" i="6"/>
  <c r="O111" i="6" s="1"/>
  <c r="Q111" i="6" s="1"/>
  <c r="N111" i="6"/>
  <c r="O89" i="4"/>
  <c r="O92" i="4" s="1"/>
  <c r="N92" i="4"/>
  <c r="N100" i="4" s="1"/>
  <c r="N18" i="1"/>
  <c r="N11" i="1"/>
  <c r="N40" i="1"/>
  <c r="N41" i="1"/>
  <c r="N9" i="6"/>
  <c r="N130" i="6" s="1"/>
  <c r="O7" i="6"/>
  <c r="O9" i="6" s="1"/>
  <c r="Q9" i="6" s="1"/>
  <c r="O12" i="2"/>
  <c r="N16" i="2"/>
  <c r="N15" i="2" s="1"/>
  <c r="N137" i="6" s="1"/>
  <c r="O137" i="6" s="1"/>
  <c r="N23" i="6"/>
  <c r="O20" i="6"/>
  <c r="N19" i="3"/>
  <c r="N138" i="6" s="1"/>
  <c r="O138" i="6" s="1"/>
  <c r="O11" i="3"/>
  <c r="N16" i="4"/>
  <c r="O16" i="4" s="1"/>
  <c r="O13" i="4"/>
  <c r="O74" i="4"/>
  <c r="Q74" i="4" s="1"/>
  <c r="O28" i="1"/>
  <c r="N30" i="1"/>
  <c r="O30" i="1" s="1"/>
  <c r="O9" i="5"/>
  <c r="N97" i="5"/>
  <c r="N141" i="6" s="1"/>
  <c r="O141" i="6" s="1"/>
  <c r="O8" i="1"/>
  <c r="O46" i="6"/>
  <c r="O48" i="6" s="1"/>
  <c r="Q48" i="6" s="1"/>
  <c r="N48" i="6"/>
  <c r="O22" i="6"/>
  <c r="O10" i="7"/>
  <c r="N16" i="6"/>
  <c r="O13" i="6"/>
  <c r="O16" i="6" s="1"/>
  <c r="Q16" i="6" s="1"/>
  <c r="N61" i="4"/>
  <c r="O59" i="4"/>
  <c r="O61" i="4" s="1"/>
  <c r="O7" i="4"/>
  <c r="N9" i="4"/>
  <c r="O11" i="7"/>
  <c r="O18" i="7"/>
  <c r="N24" i="1"/>
  <c r="O22" i="1"/>
  <c r="N31" i="6"/>
  <c r="O27" i="6"/>
  <c r="O31" i="6" s="1"/>
  <c r="O53" i="6"/>
  <c r="O55" i="6" s="1"/>
  <c r="Q55" i="6" s="1"/>
  <c r="N55" i="6"/>
  <c r="O15" i="1"/>
  <c r="N61" i="6"/>
  <c r="O59" i="6"/>
  <c r="O61" i="6" s="1"/>
  <c r="Q61" i="6" s="1"/>
  <c r="O16" i="1"/>
  <c r="O9" i="1"/>
  <c r="O77" i="6"/>
  <c r="O81" i="6" s="1"/>
  <c r="Q81" i="6" s="1"/>
  <c r="N81" i="6"/>
  <c r="F50" i="8" l="1"/>
  <c r="F48" i="8"/>
  <c r="E69" i="8"/>
  <c r="E71" i="8"/>
  <c r="E67" i="8"/>
  <c r="F67" i="8"/>
  <c r="F69" i="8"/>
  <c r="F71" i="8"/>
  <c r="D69" i="8"/>
  <c r="D71" i="8"/>
  <c r="D67" i="8"/>
  <c r="E48" i="8"/>
  <c r="E50" i="8"/>
  <c r="L69" i="8"/>
  <c r="L71" i="8"/>
  <c r="L67" i="8"/>
  <c r="I71" i="8"/>
  <c r="I67" i="8"/>
  <c r="I69" i="8"/>
  <c r="M69" i="8"/>
  <c r="M71" i="8"/>
  <c r="M67" i="8"/>
  <c r="G50" i="8"/>
  <c r="G48" i="8"/>
  <c r="K67" i="8"/>
  <c r="K69" i="8"/>
  <c r="K71" i="8"/>
  <c r="E37" i="8"/>
  <c r="E41" i="8"/>
  <c r="E39" i="8"/>
  <c r="I39" i="8"/>
  <c r="I41" i="8"/>
  <c r="I37" i="8"/>
  <c r="I50" i="8"/>
  <c r="I48" i="8"/>
  <c r="J48" i="8"/>
  <c r="J50" i="8"/>
  <c r="D50" i="8"/>
  <c r="D48" i="8"/>
  <c r="J71" i="8"/>
  <c r="J69" i="8"/>
  <c r="G69" i="8"/>
  <c r="G71" i="8"/>
  <c r="L48" i="8"/>
  <c r="L50" i="8"/>
  <c r="H71" i="8"/>
  <c r="H67" i="8"/>
  <c r="H69" i="8"/>
  <c r="O18" i="2"/>
  <c r="Q12" i="2"/>
  <c r="Q31" i="6"/>
  <c r="E53" i="8" s="1"/>
  <c r="E55" i="8" s="1"/>
  <c r="Q30" i="1"/>
  <c r="F4" i="8" s="1"/>
  <c r="Q92" i="4"/>
  <c r="H33" i="8" s="1"/>
  <c r="H35" i="8" s="1"/>
  <c r="O93" i="7"/>
  <c r="Q18" i="7"/>
  <c r="C63" i="8" s="1"/>
  <c r="O100" i="5"/>
  <c r="Q9" i="5"/>
  <c r="C44" i="8" s="1"/>
  <c r="C46" i="8" s="1"/>
  <c r="O19" i="3"/>
  <c r="Q11" i="3"/>
  <c r="C20" i="8" s="1"/>
  <c r="Q16" i="4"/>
  <c r="D27" i="8" s="1"/>
  <c r="D29" i="8" s="1"/>
  <c r="N45" i="1"/>
  <c r="N136" i="6" s="1"/>
  <c r="O136" i="6" s="1"/>
  <c r="N42" i="1"/>
  <c r="N43" i="1" s="1"/>
  <c r="D20" i="8"/>
  <c r="D22" i="8" s="1"/>
  <c r="N105" i="4"/>
  <c r="O88" i="7"/>
  <c r="O89" i="7"/>
  <c r="G55" i="8"/>
  <c r="H53" i="8"/>
  <c r="H55" i="8" s="1"/>
  <c r="N55" i="8"/>
  <c r="O53" i="8"/>
  <c r="O55" i="8" s="1"/>
  <c r="L55" i="8"/>
  <c r="M53" i="8"/>
  <c r="M55" i="8" s="1"/>
  <c r="J53" i="8"/>
  <c r="J55" i="8" s="1"/>
  <c r="I53" i="8"/>
  <c r="I55" i="8" s="1"/>
  <c r="O130" i="6"/>
  <c r="B60" i="8" s="1"/>
  <c r="N123" i="6"/>
  <c r="N132" i="6" s="1"/>
  <c r="O123" i="6"/>
  <c r="B55" i="8" s="1"/>
  <c r="O41" i="1"/>
  <c r="O24" i="1"/>
  <c r="Q24" i="1" s="1"/>
  <c r="O18" i="1"/>
  <c r="O40" i="1"/>
  <c r="O11" i="1"/>
  <c r="Q11" i="1" s="1"/>
  <c r="T11" i="1" s="1"/>
  <c r="N51" i="4"/>
  <c r="N102" i="4" s="1"/>
  <c r="N139" i="6" s="1"/>
  <c r="O139" i="6" s="1"/>
  <c r="N87" i="7"/>
  <c r="N143" i="6" s="1"/>
  <c r="O143" i="6" s="1"/>
  <c r="O16" i="2"/>
  <c r="O15" i="2" s="1"/>
  <c r="O9" i="4"/>
  <c r="Q9" i="4" s="1"/>
  <c r="O97" i="5"/>
  <c r="C33" i="8"/>
  <c r="C35" i="8" s="1"/>
  <c r="O100" i="4"/>
  <c r="B35" i="8" s="1"/>
  <c r="Q130" i="6"/>
  <c r="O23" i="6"/>
  <c r="Q23" i="6" s="1"/>
  <c r="B46" i="8" l="1"/>
  <c r="S141" i="6"/>
  <c r="T141" i="6" s="1"/>
  <c r="G65" i="8"/>
  <c r="F58" i="8"/>
  <c r="F60" i="8" s="1"/>
  <c r="K65" i="8"/>
  <c r="I65" i="8"/>
  <c r="D65" i="8"/>
  <c r="J65" i="8"/>
  <c r="E65" i="8"/>
  <c r="L65" i="8"/>
  <c r="G74" i="8"/>
  <c r="U148" i="6"/>
  <c r="V148" i="6" s="1"/>
  <c r="M65" i="8"/>
  <c r="F65" i="8"/>
  <c r="H65" i="8"/>
  <c r="F8" i="8"/>
  <c r="F10" i="8"/>
  <c r="F12" i="8"/>
  <c r="F6" i="8" s="1"/>
  <c r="H39" i="8"/>
  <c r="H41" i="8"/>
  <c r="H37" i="8"/>
  <c r="O42" i="1"/>
  <c r="O43" i="1" s="1"/>
  <c r="Q18" i="1"/>
  <c r="D4" i="8" s="1"/>
  <c r="O45" i="1"/>
  <c r="O22" i="3"/>
  <c r="D24" i="8"/>
  <c r="O87" i="7"/>
  <c r="E58" i="8"/>
  <c r="E60" i="8" s="1"/>
  <c r="D53" i="8"/>
  <c r="D55" i="8" s="1"/>
  <c r="C24" i="8"/>
  <c r="C22" i="8"/>
  <c r="B22" i="8" s="1"/>
  <c r="C15" i="8"/>
  <c r="C17" i="8" s="1"/>
  <c r="B17" i="8" s="1"/>
  <c r="C53" i="8"/>
  <c r="C55" i="8" s="1"/>
  <c r="O51" i="4"/>
  <c r="O105" i="4"/>
  <c r="C4" i="8"/>
  <c r="E4" i="8"/>
  <c r="C48" i="8"/>
  <c r="B48" i="8" s="1"/>
  <c r="C50" i="8"/>
  <c r="B50" i="8" s="1"/>
  <c r="O132" i="6"/>
  <c r="N142" i="6"/>
  <c r="C37" i="8"/>
  <c r="C39" i="8"/>
  <c r="C41" i="8"/>
  <c r="B41" i="8" s="1"/>
  <c r="C27" i="8"/>
  <c r="C29" i="8" s="1"/>
  <c r="C71" i="8"/>
  <c r="B71" i="8" s="1"/>
  <c r="C67" i="8"/>
  <c r="C69" i="8"/>
  <c r="B69" i="8" s="1"/>
  <c r="D58" i="8"/>
  <c r="D60" i="8" s="1"/>
  <c r="B37" i="8" l="1"/>
  <c r="D8" i="8"/>
  <c r="D10" i="8"/>
  <c r="B39" i="8"/>
  <c r="O102" i="4"/>
  <c r="B29" i="8"/>
  <c r="N145" i="6"/>
  <c r="O142" i="6"/>
  <c r="B24" i="8"/>
  <c r="I22" i="8" s="1"/>
  <c r="E12" i="8"/>
  <c r="B12" i="8" s="1"/>
  <c r="E10" i="8"/>
  <c r="E8" i="8"/>
  <c r="C10" i="8"/>
  <c r="C8" i="8"/>
  <c r="C65" i="8"/>
  <c r="B65" i="8" s="1"/>
  <c r="B74" i="8" s="1"/>
  <c r="B67" i="8"/>
  <c r="O145" i="6" l="1"/>
  <c r="AB76" i="8" s="1"/>
  <c r="AB77" i="8" s="1"/>
  <c r="U147" i="6"/>
  <c r="V147" i="6" s="1"/>
  <c r="D6" i="8"/>
  <c r="O147" i="6"/>
  <c r="O149" i="6"/>
  <c r="C6" i="8"/>
  <c r="B10" i="8"/>
  <c r="E6" i="8"/>
  <c r="B8" i="8"/>
  <c r="F76" i="8" l="1"/>
  <c r="I12" i="8"/>
  <c r="B6" i="8"/>
  <c r="B73" i="8" s="1"/>
  <c r="B76" i="8" s="1"/>
  <c r="O148" i="6" s="1"/>
  <c r="P148" i="6" s="1"/>
  <c r="D87" i="7"/>
  <c r="D145" i="6" s="1"/>
  <c r="G76" i="8" l="1"/>
  <c r="V76" i="8"/>
  <c r="B77" i="8"/>
  <c r="B79" i="8" s="1"/>
  <c r="T79" i="8"/>
  <c r="C77" i="8"/>
</calcChain>
</file>

<file path=xl/sharedStrings.xml><?xml version="1.0" encoding="utf-8"?>
<sst xmlns="http://schemas.openxmlformats.org/spreadsheetml/2006/main" count="3008" uniqueCount="1511">
  <si>
    <t>REG NO</t>
  </si>
  <si>
    <t>DESCRIPTION</t>
  </si>
  <si>
    <t>VOTE</t>
  </si>
  <si>
    <t>DISTANCE</t>
  </si>
  <si>
    <t>FUEL</t>
  </si>
  <si>
    <t>INSURANCE</t>
  </si>
  <si>
    <t>MATERIAL</t>
  </si>
  <si>
    <t>DEPRECIATION</t>
  </si>
  <si>
    <t>RENTAL</t>
  </si>
  <si>
    <t>LIC</t>
  </si>
  <si>
    <t>TAR/CODE</t>
  </si>
  <si>
    <t>TARIFF</t>
  </si>
  <si>
    <t>SUB TOTAL</t>
  </si>
  <si>
    <t>SUNDRY</t>
  </si>
  <si>
    <t>TOTAL</t>
  </si>
  <si>
    <t>TRAILERS</t>
  </si>
  <si>
    <t>TRAILER</t>
  </si>
  <si>
    <t>TRACTORS</t>
  </si>
  <si>
    <t>SUMMARY</t>
  </si>
  <si>
    <t>MM</t>
  </si>
  <si>
    <t>EEM</t>
  </si>
  <si>
    <t>CEM</t>
  </si>
  <si>
    <t>MDC</t>
  </si>
  <si>
    <t>GRANT TOTAL</t>
  </si>
  <si>
    <t>DLV 326 N</t>
  </si>
  <si>
    <t>JCB</t>
  </si>
  <si>
    <t>MACHINERY</t>
  </si>
  <si>
    <t>BGC 439 N</t>
  </si>
  <si>
    <t>DLV 293 N</t>
  </si>
  <si>
    <t>DWD 352 N</t>
  </si>
  <si>
    <t>DZF 646 N</t>
  </si>
  <si>
    <t>FORD TRACTOR</t>
  </si>
  <si>
    <t>RAMSOMES</t>
  </si>
  <si>
    <t>NEW HOLLAND</t>
  </si>
  <si>
    <t>DNR 343 N</t>
  </si>
  <si>
    <t>DMS 582 N</t>
  </si>
  <si>
    <t>DJY 946 N</t>
  </si>
  <si>
    <t>WATERTANKER</t>
  </si>
  <si>
    <t>HERSOFAM</t>
  </si>
  <si>
    <t>LAWNMOWER TRAIL</t>
  </si>
  <si>
    <t>CS</t>
  </si>
  <si>
    <t>COMPRESSOR</t>
  </si>
  <si>
    <t>TRUCKS H/VEH</t>
  </si>
  <si>
    <t>TRUCKS M/VEH</t>
  </si>
  <si>
    <t>DNK 346 N</t>
  </si>
  <si>
    <t>ATLAS COMPR</t>
  </si>
  <si>
    <t>DJH 087 N</t>
  </si>
  <si>
    <t>STORES</t>
  </si>
  <si>
    <t>W/SHOP</t>
  </si>
  <si>
    <t>DLG 098 N</t>
  </si>
  <si>
    <t>DLF 731 N</t>
  </si>
  <si>
    <t>DNB 893 N</t>
  </si>
  <si>
    <t>DLV 309 N</t>
  </si>
  <si>
    <t>DLV 304 N</t>
  </si>
  <si>
    <t>?</t>
  </si>
  <si>
    <t>DXV 047 N</t>
  </si>
  <si>
    <t>VENTER ELITE</t>
  </si>
  <si>
    <t>VENTER TRAILER</t>
  </si>
  <si>
    <t>LOWBED TRAILER</t>
  </si>
  <si>
    <t>FLAT DECK - SPIDER</t>
  </si>
  <si>
    <t>TRAILORS</t>
  </si>
  <si>
    <t>063</t>
  </si>
  <si>
    <t>103</t>
  </si>
  <si>
    <t>105</t>
  </si>
  <si>
    <t>133/134/135</t>
  </si>
  <si>
    <t>MDC05</t>
  </si>
  <si>
    <t>037/066/1222</t>
  </si>
  <si>
    <t>105/066/1222</t>
  </si>
  <si>
    <t>134/066/1222</t>
  </si>
  <si>
    <t>135/066/1222</t>
  </si>
  <si>
    <t>133/066/1222</t>
  </si>
  <si>
    <t>173/066/1222</t>
  </si>
  <si>
    <t>183/066/1222</t>
  </si>
  <si>
    <t>total</t>
  </si>
  <si>
    <t>70%</t>
  </si>
  <si>
    <t>30%</t>
  </si>
  <si>
    <t>063/066/1222</t>
  </si>
  <si>
    <t>103/066/1222</t>
  </si>
  <si>
    <t>073/066/1222</t>
  </si>
  <si>
    <t>083/066/1222</t>
  </si>
  <si>
    <t>093/066/1222</t>
  </si>
  <si>
    <t>totaal</t>
  </si>
  <si>
    <t>TOTAL TZN</t>
  </si>
  <si>
    <t>TOTAL MDC</t>
  </si>
  <si>
    <t>GRAND TOTAL</t>
  </si>
  <si>
    <t>km/l</t>
  </si>
  <si>
    <t>BOMAG</t>
  </si>
  <si>
    <t>WINGET DUMPER</t>
  </si>
  <si>
    <t>TOYOTA DYNAPAC</t>
  </si>
  <si>
    <t>GALLION</t>
  </si>
  <si>
    <t>WRIGHT 120G</t>
  </si>
  <si>
    <t>ATLAS COPCO</t>
  </si>
  <si>
    <t>MASSEY FERGUSON</t>
  </si>
  <si>
    <t>FERGUSON TRAILER</t>
  </si>
  <si>
    <t>POLE TRAILER</t>
  </si>
  <si>
    <t>FLEXIAN TRAILER</t>
  </si>
  <si>
    <t>BOMAG TRAILER</t>
  </si>
  <si>
    <t>VERMEER 620 BC</t>
  </si>
  <si>
    <t>WELDER TRAILER</t>
  </si>
  <si>
    <t>BCC 135 N</t>
  </si>
  <si>
    <t>DWD 351 N</t>
  </si>
  <si>
    <t>WORKSHOP</t>
  </si>
  <si>
    <t>COMMUNITY SERVICES</t>
  </si>
  <si>
    <t>037</t>
  </si>
  <si>
    <t>173/183</t>
  </si>
  <si>
    <t>073/083/093</t>
  </si>
  <si>
    <t>037/078/1325</t>
  </si>
  <si>
    <t>037/078/1327</t>
  </si>
  <si>
    <t>037/066/1219</t>
  </si>
  <si>
    <t>037/064/1091</t>
  </si>
  <si>
    <t>037/078/1335</t>
  </si>
  <si>
    <t>037/066/1220</t>
  </si>
  <si>
    <t>037/078/1331</t>
  </si>
  <si>
    <t>003/066/1222</t>
  </si>
  <si>
    <t>006/066/1222</t>
  </si>
  <si>
    <t>003</t>
  </si>
  <si>
    <t>006</t>
  </si>
  <si>
    <t>BCC 136 N [063]</t>
  </si>
  <si>
    <t>BCC 137 N [063]</t>
  </si>
  <si>
    <t>DLG 101 N [063]</t>
  </si>
  <si>
    <t>DMS 578 N [063]</t>
  </si>
  <si>
    <t>DLG 112 N [063]</t>
  </si>
  <si>
    <t>DLG 104 N [063]</t>
  </si>
  <si>
    <t>DKN 792 N [105]</t>
  </si>
  <si>
    <t>DLF 729 N [103]</t>
  </si>
  <si>
    <t>UD 80 NISSAN</t>
  </si>
  <si>
    <t>DLG 106 N [093]</t>
  </si>
  <si>
    <t>nissan ud 70</t>
  </si>
  <si>
    <t>FHX 724 N [073]</t>
  </si>
  <si>
    <t>073</t>
  </si>
  <si>
    <t>083</t>
  </si>
  <si>
    <t>093</t>
  </si>
  <si>
    <t>DNB 899 N [063]</t>
  </si>
  <si>
    <t>BRS 390 L</t>
  </si>
  <si>
    <t>BSC 248 L</t>
  </si>
  <si>
    <t>BSC 243 L</t>
  </si>
  <si>
    <t>BSJ 334 L</t>
  </si>
  <si>
    <t>BST 681 L</t>
  </si>
  <si>
    <t>BSS 223 L</t>
  </si>
  <si>
    <t>SEDAN</t>
  </si>
  <si>
    <t>COMPACTOR - NISSAN DIESSEL</t>
  </si>
  <si>
    <t>UD 85 NISSAN</t>
  </si>
  <si>
    <t>V0103</t>
  </si>
  <si>
    <t>V0111</t>
  </si>
  <si>
    <t>V0112</t>
  </si>
  <si>
    <t>V0115</t>
  </si>
  <si>
    <t>V0116</t>
  </si>
  <si>
    <t>V0124</t>
  </si>
  <si>
    <t>V0125</t>
  </si>
  <si>
    <t>V0128</t>
  </si>
  <si>
    <t>V0134</t>
  </si>
  <si>
    <t>V0135</t>
  </si>
  <si>
    <t>V0136</t>
  </si>
  <si>
    <t>V0139</t>
  </si>
  <si>
    <t>V0143</t>
  </si>
  <si>
    <t>V0144</t>
  </si>
  <si>
    <t>V0145</t>
  </si>
  <si>
    <t>V0148</t>
  </si>
  <si>
    <t xml:space="preserve">MACHINERY </t>
  </si>
  <si>
    <t>DUMPER</t>
  </si>
  <si>
    <t>honey sucker - NISSAN DIESEL</t>
  </si>
  <si>
    <t>watertenker - NISSAN DIESEL</t>
  </si>
  <si>
    <t>DLV 286 N [063]</t>
  </si>
  <si>
    <t>DKX 035 N [063]</t>
  </si>
  <si>
    <t>BC2025 [063]</t>
  </si>
  <si>
    <t>BC3890 [063]</t>
  </si>
  <si>
    <t>BC2019 [063]</t>
  </si>
  <si>
    <t>BC4085 [063]</t>
  </si>
  <si>
    <t>DMS 569 N [063]</t>
  </si>
  <si>
    <t>DNB 886 N [063]</t>
  </si>
  <si>
    <t>DNP 901 N [063]</t>
  </si>
  <si>
    <t>DNB 889 N [063]</t>
  </si>
  <si>
    <t>DKN 793 N [063]</t>
  </si>
  <si>
    <t>DLF 737 N [063]</t>
  </si>
  <si>
    <t>DKX 038 N [063]</t>
  </si>
  <si>
    <t>DLV 291 N [063]</t>
  </si>
  <si>
    <t>DKX 039 N [063]</t>
  </si>
  <si>
    <t>FUEL             037-078-1325</t>
  </si>
  <si>
    <t>INSURANCE             037-078-1327</t>
  </si>
  <si>
    <t>MATERIAL             037-066-1219</t>
  </si>
  <si>
    <t>RENTAL             037-078-1331</t>
  </si>
  <si>
    <t>LICENCE             037-078-1335</t>
  </si>
  <si>
    <t>RECOVERY             037-056-1043</t>
  </si>
  <si>
    <t>SUNDRY             037-066-1220</t>
  </si>
  <si>
    <t>DEPRECIATION              037-064-1091</t>
  </si>
  <si>
    <t>RENTAL                  037-078-1331</t>
  </si>
  <si>
    <t>LICENCE                037-078-1335</t>
  </si>
  <si>
    <t>FUEL                           037-078-1325</t>
  </si>
  <si>
    <t>SUNDRY                    037-066-1220</t>
  </si>
  <si>
    <t>FUEL                        037-078-1325</t>
  </si>
  <si>
    <t>FUEL                  037-078-1325</t>
  </si>
  <si>
    <t>RENTAL                                                           037-078-1331</t>
  </si>
  <si>
    <t>FUEL                          037-078-1325</t>
  </si>
  <si>
    <t>SUNDRY                 037-066-1220</t>
  </si>
  <si>
    <t>MATERIAL                      037-066-1219</t>
  </si>
  <si>
    <t>V0149</t>
  </si>
  <si>
    <t>034</t>
  </si>
  <si>
    <t>BZN 604 L</t>
  </si>
  <si>
    <t>veh no</t>
  </si>
  <si>
    <t>amount</t>
  </si>
  <si>
    <t>7mde total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</si>
  <si>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</si>
  <si>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</si>
  <si>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</si>
  <si>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</si>
  <si>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</si>
  <si>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</si>
  <si>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</si>
  <si>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</si>
  <si>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</si>
  <si>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</si>
  <si>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</si>
  <si>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</si>
  <si>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</si>
  <si>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</si>
  <si>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</si>
  <si>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</si>
  <si>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</si>
  <si>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</si>
  <si>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</si>
  <si>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</si>
  <si>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</si>
  <si>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</si>
  <si>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</si>
  <si>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</si>
  <si>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294</t>
  </si>
  <si>
    <t>295</t>
  </si>
  <si>
    <t>296</t>
  </si>
  <si>
    <t>297</t>
  </si>
  <si>
    <t>/5</t>
  </si>
  <si>
    <t>7mde delging</t>
  </si>
  <si>
    <t>7mde rente</t>
  </si>
  <si>
    <t>delging 12 mnd</t>
  </si>
  <si>
    <t>rente 12mnd</t>
  </si>
  <si>
    <t>12mnd</t>
  </si>
  <si>
    <t>INTEREST</t>
  </si>
  <si>
    <t>DISPOSALS</t>
  </si>
  <si>
    <t>CATERPILLAR</t>
  </si>
  <si>
    <t>CFC 703 L</t>
  </si>
  <si>
    <t>CFC 704 L</t>
  </si>
  <si>
    <t>034/066/1222</t>
  </si>
  <si>
    <t>V0151</t>
  </si>
  <si>
    <t>057/066/1222</t>
  </si>
  <si>
    <t>057</t>
  </si>
  <si>
    <t>dept</t>
  </si>
  <si>
    <t>type</t>
  </si>
  <si>
    <t>2x4 LDV</t>
  </si>
  <si>
    <t>4X4 LDV</t>
  </si>
  <si>
    <t>4x4 LDV</t>
  </si>
  <si>
    <t>4 TON TRUCK</t>
  </si>
  <si>
    <t>WATER TANKER</t>
  </si>
  <si>
    <r>
      <t>21</t>
    </r>
    <r>
      <rPr>
        <sz val="8"/>
        <rFont val="Consolas"/>
        <family val="3"/>
      </rPr>
      <t>m³</t>
    </r>
    <r>
      <rPr>
        <sz val="8"/>
        <rFont val="Arial"/>
        <family val="2"/>
      </rPr>
      <t xml:space="preserve"> COMPACTOR</t>
    </r>
  </si>
  <si>
    <t>COMBI</t>
  </si>
  <si>
    <t>COM SERV</t>
  </si>
  <si>
    <t>SID</t>
  </si>
  <si>
    <t>ESI</t>
  </si>
  <si>
    <t>SUV</t>
  </si>
  <si>
    <t>2c 2x4 LDV</t>
  </si>
  <si>
    <t>6a CREW CAB</t>
  </si>
  <si>
    <t>3a 4x4 LDV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</si>
  <si>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</si>
  <si>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</si>
  <si>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</si>
  <si>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</si>
  <si>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</si>
  <si>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</si>
  <si>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</si>
  <si>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</si>
  <si>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</si>
  <si>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</si>
  <si>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</si>
  <si>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</si>
  <si>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</si>
  <si>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6c 4 TON CHERRY PICKER</t>
  </si>
  <si>
    <t>659</t>
  </si>
  <si>
    <t>661</t>
  </si>
  <si>
    <t>662</t>
  </si>
  <si>
    <t>663</t>
  </si>
  <si>
    <t>674</t>
  </si>
  <si>
    <t>675</t>
  </si>
  <si>
    <t>8b 8 TON TRUCK</t>
  </si>
  <si>
    <t>682</t>
  </si>
  <si>
    <t>683</t>
  </si>
  <si>
    <t>684</t>
  </si>
  <si>
    <t>3b 4x4 LDV</t>
  </si>
  <si>
    <t>V0152</t>
  </si>
  <si>
    <t>153</t>
  </si>
  <si>
    <t>DNR 351 N [144]</t>
  </si>
  <si>
    <t>veh</t>
  </si>
  <si>
    <t>model</t>
  </si>
  <si>
    <t>ITEM NO</t>
  </si>
  <si>
    <t>AMOUNT</t>
  </si>
  <si>
    <t>12 MONTHS</t>
  </si>
  <si>
    <t>km budget</t>
  </si>
  <si>
    <t>km actual 2010/2011</t>
  </si>
  <si>
    <t>budget 2012/2013</t>
  </si>
  <si>
    <t>price</t>
  </si>
  <si>
    <t>rental</t>
  </si>
  <si>
    <t>inter</t>
  </si>
  <si>
    <t>depre</t>
  </si>
  <si>
    <t>insurance</t>
  </si>
  <si>
    <t>lic</t>
  </si>
  <si>
    <t>1</t>
  </si>
  <si>
    <t>602</t>
  </si>
  <si>
    <t>133</t>
  </si>
  <si>
    <t>2a</t>
  </si>
  <si>
    <t>simpson motors</t>
  </si>
  <si>
    <t>603</t>
  </si>
  <si>
    <t>2b</t>
  </si>
  <si>
    <t>604</t>
  </si>
  <si>
    <t>4</t>
  </si>
  <si>
    <t>605</t>
  </si>
  <si>
    <t>5</t>
  </si>
  <si>
    <t>642</t>
  </si>
  <si>
    <t>3b</t>
  </si>
  <si>
    <t>bb motors</t>
  </si>
  <si>
    <t>608</t>
  </si>
  <si>
    <t>2c</t>
  </si>
  <si>
    <t>7</t>
  </si>
  <si>
    <t>609</t>
  </si>
  <si>
    <t>610</t>
  </si>
  <si>
    <t>9</t>
  </si>
  <si>
    <t>611</t>
  </si>
  <si>
    <t>10</t>
  </si>
  <si>
    <t>612</t>
  </si>
  <si>
    <t>613</t>
  </si>
  <si>
    <t>606</t>
  </si>
  <si>
    <t>643</t>
  </si>
  <si>
    <t>614</t>
  </si>
  <si>
    <t>15</t>
  </si>
  <si>
    <t>628</t>
  </si>
  <si>
    <t>173</t>
  </si>
  <si>
    <t>3a</t>
  </si>
  <si>
    <t>601</t>
  </si>
  <si>
    <t>649</t>
  </si>
  <si>
    <t>292</t>
  </si>
  <si>
    <t>ntt toyota</t>
  </si>
  <si>
    <t>650</t>
  </si>
  <si>
    <t>293</t>
  </si>
  <si>
    <t>656</t>
  </si>
  <si>
    <t>6a</t>
  </si>
  <si>
    <t>657</t>
  </si>
  <si>
    <t>658</t>
  </si>
  <si>
    <t>687</t>
  </si>
  <si>
    <t>688</t>
  </si>
  <si>
    <t>298</t>
  </si>
  <si>
    <t>32</t>
  </si>
  <si>
    <t>644</t>
  </si>
  <si>
    <t>648</t>
  </si>
  <si>
    <t>3c</t>
  </si>
  <si>
    <t>44</t>
  </si>
  <si>
    <t>6c</t>
  </si>
  <si>
    <t>45</t>
  </si>
  <si>
    <t>660</t>
  </si>
  <si>
    <t>46</t>
  </si>
  <si>
    <t>47</t>
  </si>
  <si>
    <t>48</t>
  </si>
  <si>
    <t>49</t>
  </si>
  <si>
    <t>51</t>
  </si>
  <si>
    <t>8c</t>
  </si>
  <si>
    <t>52</t>
  </si>
  <si>
    <t>53</t>
  </si>
  <si>
    <t>8b</t>
  </si>
  <si>
    <t>55</t>
  </si>
  <si>
    <t>664</t>
  </si>
  <si>
    <t>72</t>
  </si>
  <si>
    <t>665</t>
  </si>
  <si>
    <t>73</t>
  </si>
  <si>
    <t>666</t>
  </si>
  <si>
    <t>74</t>
  </si>
  <si>
    <t>667</t>
  </si>
  <si>
    <t>75</t>
  </si>
  <si>
    <t>686</t>
  </si>
  <si>
    <t>115</t>
  </si>
  <si>
    <t>8e</t>
  </si>
  <si>
    <t>673</t>
  </si>
  <si>
    <t>116</t>
  </si>
  <si>
    <t>6b</t>
  </si>
  <si>
    <t>668</t>
  </si>
  <si>
    <t>128</t>
  </si>
  <si>
    <t>129</t>
  </si>
  <si>
    <t>679</t>
  </si>
  <si>
    <t>131</t>
  </si>
  <si>
    <t>8a</t>
  </si>
  <si>
    <t>669</t>
  </si>
  <si>
    <t>138</t>
  </si>
  <si>
    <t>615</t>
  </si>
  <si>
    <t>142</t>
  </si>
  <si>
    <t>616</t>
  </si>
  <si>
    <t>143</t>
  </si>
  <si>
    <t>617</t>
  </si>
  <si>
    <t>144</t>
  </si>
  <si>
    <t>618</t>
  </si>
  <si>
    <t>145</t>
  </si>
  <si>
    <t>645</t>
  </si>
  <si>
    <t>152</t>
  </si>
  <si>
    <t>646</t>
  </si>
  <si>
    <t>647</t>
  </si>
  <si>
    <t>154</t>
  </si>
  <si>
    <t>651</t>
  </si>
  <si>
    <t>155</t>
  </si>
  <si>
    <t>652</t>
  </si>
  <si>
    <t>156</t>
  </si>
  <si>
    <t>607</t>
  </si>
  <si>
    <t>158</t>
  </si>
  <si>
    <t>619</t>
  </si>
  <si>
    <t>159</t>
  </si>
  <si>
    <t>620</t>
  </si>
  <si>
    <t>160</t>
  </si>
  <si>
    <t>621</t>
  </si>
  <si>
    <t>161</t>
  </si>
  <si>
    <t>622</t>
  </si>
  <si>
    <t>162</t>
  </si>
  <si>
    <t>676</t>
  </si>
  <si>
    <t>168</t>
  </si>
  <si>
    <t>677</t>
  </si>
  <si>
    <t>169</t>
  </si>
  <si>
    <t>678</t>
  </si>
  <si>
    <t>170</t>
  </si>
  <si>
    <t>623</t>
  </si>
  <si>
    <t>253</t>
  </si>
  <si>
    <t>624</t>
  </si>
  <si>
    <t>254</t>
  </si>
  <si>
    <t>625</t>
  </si>
  <si>
    <t>255</t>
  </si>
  <si>
    <t>626</t>
  </si>
  <si>
    <t>256</t>
  </si>
  <si>
    <t>627</t>
  </si>
  <si>
    <t>257</t>
  </si>
  <si>
    <t>260</t>
  </si>
  <si>
    <t>261</t>
  </si>
  <si>
    <t>262</t>
  </si>
  <si>
    <t>263</t>
  </si>
  <si>
    <t>685</t>
  </si>
  <si>
    <t>110</t>
  </si>
  <si>
    <t>8d</t>
  </si>
  <si>
    <t>653</t>
  </si>
  <si>
    <t>140</t>
  </si>
  <si>
    <t>654</t>
  </si>
  <si>
    <t>146</t>
  </si>
  <si>
    <t>655</t>
  </si>
  <si>
    <t>149</t>
  </si>
  <si>
    <t>680</t>
  </si>
  <si>
    <t>202</t>
  </si>
  <si>
    <t>681</t>
  </si>
  <si>
    <t>new</t>
  </si>
  <si>
    <t>670</t>
  </si>
  <si>
    <t>671</t>
  </si>
  <si>
    <t>672</t>
  </si>
  <si>
    <t>1-5 TLB</t>
  </si>
  <si>
    <t>2-5 ROLLER</t>
  </si>
  <si>
    <t>4-5 TIPPER TRUCK</t>
  </si>
  <si>
    <t>3-5 WATER TANKER</t>
  </si>
  <si>
    <t>5-5 CRANE TRUCK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</si>
  <si>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</si>
  <si>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</si>
  <si>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</si>
  <si>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</si>
  <si>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</si>
  <si>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</si>
  <si>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</si>
  <si>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</si>
  <si>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</si>
  <si>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</si>
  <si>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</si>
  <si>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1-5</t>
  </si>
  <si>
    <t>2-5</t>
  </si>
  <si>
    <t>3-5</t>
  </si>
  <si>
    <t>4-5</t>
  </si>
  <si>
    <t>5-5</t>
  </si>
  <si>
    <t xml:space="preserve">BELL EQUIPMENT </t>
  </si>
  <si>
    <t>TZN SWAARVOERTUIE</t>
  </si>
  <si>
    <t>REPUBLIC BUSH TRUCKS</t>
  </si>
  <si>
    <t>V0153</t>
  </si>
  <si>
    <t>V0154</t>
  </si>
  <si>
    <t>V0155</t>
  </si>
  <si>
    <t>V0156</t>
  </si>
  <si>
    <t>V0157</t>
  </si>
  <si>
    <t>V0158</t>
  </si>
  <si>
    <t>V0159</t>
  </si>
  <si>
    <t>V0160</t>
  </si>
  <si>
    <t>V0164</t>
  </si>
  <si>
    <t>V0167</t>
  </si>
  <si>
    <t>V0168</t>
  </si>
  <si>
    <t>V0169</t>
  </si>
  <si>
    <t>V0170</t>
  </si>
  <si>
    <t>V0171</t>
  </si>
  <si>
    <t>V0172</t>
  </si>
  <si>
    <t>V0173</t>
  </si>
  <si>
    <t>V0174</t>
  </si>
  <si>
    <t>V0175</t>
  </si>
  <si>
    <t>V0176</t>
  </si>
  <si>
    <t>V0177</t>
  </si>
  <si>
    <t>V0178</t>
  </si>
  <si>
    <t>V0179</t>
  </si>
  <si>
    <t>V0180</t>
  </si>
  <si>
    <t>V0181</t>
  </si>
  <si>
    <t>V0182</t>
  </si>
  <si>
    <t>V0183</t>
  </si>
  <si>
    <t>V0184</t>
  </si>
  <si>
    <t>V0185</t>
  </si>
  <si>
    <t>V0186</t>
  </si>
  <si>
    <t>V0187</t>
  </si>
  <si>
    <t>V0189</t>
  </si>
  <si>
    <t>60%</t>
  </si>
  <si>
    <t>10%</t>
  </si>
  <si>
    <t>Includes initial License and Registration costs</t>
  </si>
  <si>
    <t>Model</t>
  </si>
  <si>
    <t>Table</t>
  </si>
  <si>
    <t>Quote Number</t>
  </si>
  <si>
    <t>Parameters</t>
  </si>
  <si>
    <t>Monthly Rental incl VAT per vehicle</t>
  </si>
  <si>
    <t>VAT Claim</t>
  </si>
  <si>
    <t>Nissan UD 85B F/C</t>
  </si>
  <si>
    <t>8`10 A</t>
  </si>
  <si>
    <t>60 months</t>
  </si>
  <si>
    <t>Nissan UD 80B F/C</t>
  </si>
  <si>
    <t>8`10 B</t>
  </si>
  <si>
    <t>8`10 C</t>
  </si>
  <si>
    <t>8`10 D</t>
  </si>
  <si>
    <t>8`10 E</t>
  </si>
  <si>
    <t>9`10</t>
  </si>
  <si>
    <t>Toyota Dyna 4-093</t>
  </si>
  <si>
    <t>5`10</t>
  </si>
  <si>
    <t>Nissan UD 40A</t>
  </si>
  <si>
    <t>6`10 A</t>
  </si>
  <si>
    <t>6`10 B</t>
  </si>
  <si>
    <t>6`10 C</t>
  </si>
  <si>
    <t>Nissan UD 60B F/C</t>
  </si>
  <si>
    <t>7`10</t>
  </si>
  <si>
    <t>Nissan NP300 2.4i LWB 4X4</t>
  </si>
  <si>
    <t>3`10 A</t>
  </si>
  <si>
    <t>3`10 B</t>
  </si>
  <si>
    <t>3`10 C</t>
  </si>
  <si>
    <t>Toyota Quantum 2.7 14 seater bus</t>
  </si>
  <si>
    <t>4`10</t>
  </si>
  <si>
    <t>Chevrolet Aveo 1.6 L</t>
  </si>
  <si>
    <t>1`10</t>
  </si>
  <si>
    <t>Isuzu KB200i LWB Fleetside</t>
  </si>
  <si>
    <t>2`10 A</t>
  </si>
  <si>
    <t>2`10 B</t>
  </si>
  <si>
    <t>2`10 C</t>
  </si>
  <si>
    <t>NEW VEH</t>
  </si>
  <si>
    <t>CLW 529 L</t>
  </si>
  <si>
    <t>CLW 557 L</t>
  </si>
  <si>
    <t>CLW 563 L</t>
  </si>
  <si>
    <t>CLW 565 L</t>
  </si>
  <si>
    <t>CLW 523 L</t>
  </si>
  <si>
    <t>CLW 862 L</t>
  </si>
  <si>
    <t>CLW 860 L</t>
  </si>
  <si>
    <t>CLW 856 L</t>
  </si>
  <si>
    <t>CLW 831 L</t>
  </si>
  <si>
    <t>CLW 837 L</t>
  </si>
  <si>
    <t>CLW 840 L</t>
  </si>
  <si>
    <t>CLW 864 L</t>
  </si>
  <si>
    <t>CLW 845 L</t>
  </si>
  <si>
    <t>CLW 849 L</t>
  </si>
  <si>
    <t>CLW 537 L</t>
  </si>
  <si>
    <t>CLW 553 L</t>
  </si>
  <si>
    <t>CLW 533 L</t>
  </si>
  <si>
    <t>CLW 834 L</t>
  </si>
  <si>
    <t>CLW 868 L</t>
  </si>
  <si>
    <t>CLX 118 L</t>
  </si>
  <si>
    <t>CLW 542 L</t>
  </si>
  <si>
    <t>CMB 436 L</t>
  </si>
  <si>
    <t>CMB 455 L</t>
  </si>
  <si>
    <t>CMB 576 L</t>
  </si>
  <si>
    <t>CMB 574 L</t>
  </si>
  <si>
    <t>CMB 490 L</t>
  </si>
  <si>
    <t>CMB 486 L</t>
  </si>
  <si>
    <t>CMB 581 L</t>
  </si>
  <si>
    <t>CMB 583 L</t>
  </si>
  <si>
    <t>CMB 608 L</t>
  </si>
  <si>
    <t>CMB 595 L</t>
  </si>
  <si>
    <t>CMB 415 L</t>
  </si>
  <si>
    <t>CMB 428 L</t>
  </si>
  <si>
    <t>CMB 403 L</t>
  </si>
  <si>
    <t>CMB 471 L</t>
  </si>
  <si>
    <t>CMB 433 L</t>
  </si>
  <si>
    <t>CMB 461 L</t>
  </si>
  <si>
    <t>CMB 593 L</t>
  </si>
  <si>
    <t>CMB 598 L</t>
  </si>
  <si>
    <t>CMB 588 L</t>
  </si>
  <si>
    <t>CMB 587 L</t>
  </si>
  <si>
    <t>CMB 495 L</t>
  </si>
  <si>
    <t>CMB 481 L</t>
  </si>
  <si>
    <t>CMB 477 L</t>
  </si>
  <si>
    <t>CMB 620 L</t>
  </si>
  <si>
    <t>CMB 422 L</t>
  </si>
  <si>
    <t>CMB 615 L</t>
  </si>
  <si>
    <t>PRICE</t>
  </si>
  <si>
    <t>ENGINE NO</t>
  </si>
  <si>
    <t>CHASSIS</t>
  </si>
  <si>
    <t>REG. DAT/MODEL</t>
  </si>
  <si>
    <t>REG. NO</t>
  </si>
  <si>
    <t>DEPT</t>
  </si>
  <si>
    <t>FINANCE</t>
  </si>
  <si>
    <t>CLY 919 L</t>
  </si>
  <si>
    <t>CLY 929 L</t>
  </si>
  <si>
    <t>CJF 828 L</t>
  </si>
  <si>
    <t>M/BENZ  -057</t>
  </si>
  <si>
    <t>CMB 613 L</t>
  </si>
  <si>
    <t>CMN 314 L</t>
  </si>
  <si>
    <t>CML 499 L</t>
  </si>
  <si>
    <t>CMN 322 L</t>
  </si>
  <si>
    <t>CMN 328 L</t>
  </si>
  <si>
    <t>CML 497 L</t>
  </si>
  <si>
    <t>CMJ 501 L</t>
  </si>
  <si>
    <t>CMJ 531 L</t>
  </si>
  <si>
    <t>CMS 102 L</t>
  </si>
  <si>
    <t>CMJ 538 L</t>
  </si>
  <si>
    <t>CMJ 505 L</t>
  </si>
  <si>
    <t>CMJ 507 L</t>
  </si>
  <si>
    <t>CMJ 511 L</t>
  </si>
  <si>
    <t>CMN 476 L</t>
  </si>
  <si>
    <t>CMN 471 L</t>
  </si>
  <si>
    <t>CMS 094 L</t>
  </si>
  <si>
    <t>CMP 207 L</t>
  </si>
  <si>
    <t>CMS 105 L</t>
  </si>
  <si>
    <t>CML 496 L</t>
  </si>
  <si>
    <t>CMN 332 L</t>
  </si>
  <si>
    <t>CML 494 L</t>
  </si>
  <si>
    <t>CMS 097 L</t>
  </si>
  <si>
    <t>CMS 114 L</t>
  </si>
  <si>
    <t>CMN 100 L</t>
  </si>
  <si>
    <t>CMJ 521 L</t>
  </si>
  <si>
    <t>CMF 761 L</t>
  </si>
  <si>
    <t>CMF 759 L</t>
  </si>
  <si>
    <t>CMS 088 L</t>
  </si>
  <si>
    <t>HINO 300</t>
  </si>
  <si>
    <t>ISUZU KB200i 2x4  [034]</t>
  </si>
  <si>
    <t>183</t>
  </si>
  <si>
    <t>TOYOTA QUANTUM [003]</t>
  </si>
  <si>
    <t>ISUZU KB200i 2x4  [006]</t>
  </si>
  <si>
    <t>TOYOTA QUANTUM [006]</t>
  </si>
  <si>
    <t>ISUZU KB200i 2x4 [003]</t>
  </si>
  <si>
    <t>CHEVROLET AVEO 1.6  [057]</t>
  </si>
  <si>
    <t>ISUZU KB200i 2x4 CANOPY  [133]</t>
  </si>
  <si>
    <t>ISUZU KB200i 2x4 MESH [133]</t>
  </si>
  <si>
    <t>ISUZU KB200i 2x4 [073]</t>
  </si>
  <si>
    <t>ISUZU KB200i 2x4 [083]</t>
  </si>
  <si>
    <t>ISUZU KB200i 2x4 [173]</t>
  </si>
  <si>
    <t>ISUZU KB200i 2x4 [037]</t>
  </si>
  <si>
    <t>ISUZU KB200i 2x4 [103]</t>
  </si>
  <si>
    <t>ISUZU KB200i 2x4 [093]</t>
  </si>
  <si>
    <t>ISUZU KB200i 2x4 [105]</t>
  </si>
  <si>
    <t>NISSAN NP 300 4X4 [173]</t>
  </si>
  <si>
    <t>NISSAN NP 300 4X4 [063]</t>
  </si>
  <si>
    <t>TOYOTA DYNA 150 [063]</t>
  </si>
  <si>
    <t>NISSAN   UD 40A M02 [063]</t>
  </si>
  <si>
    <t>NISSAN  UD 85   TIPPER [063]</t>
  </si>
  <si>
    <t>NISSAN  UD 80 WATER TANKER [063]</t>
  </si>
  <si>
    <t>TLB BELL 315 SJ 4X4 [063]</t>
  </si>
  <si>
    <t>ROLLER VOLVO SD100DC [063]</t>
  </si>
  <si>
    <t>ISUZU FSR800 WATER TANKER [063]</t>
  </si>
  <si>
    <t>TIPPER TRUCK TATA 1518LPK [063]</t>
  </si>
  <si>
    <t>NISSAN NP 300 4X4 [037]</t>
  </si>
  <si>
    <t>NISSAN NP 300 4X4 [073]</t>
  </si>
  <si>
    <t>NISSAN   UD 40A M02 [073]</t>
  </si>
  <si>
    <t>NISSAN  UD 80 WATER TANKER [073]</t>
  </si>
  <si>
    <t>NISSAN  UD 80  HONEY SUCKER [093]</t>
  </si>
  <si>
    <t>TOYOTA DYNA 150 [103]</t>
  </si>
  <si>
    <t>NISSAN   UD 40A M02 [103]</t>
  </si>
  <si>
    <t>TOYOTA DYNA 150 [105]</t>
  </si>
  <si>
    <t>NISSAN   UD 40A M02 [105]</t>
  </si>
  <si>
    <t>NISSAN  UD40  TIPPER [105]</t>
  </si>
  <si>
    <t>HINO 300 [133]</t>
  </si>
  <si>
    <t>ISUZU  FVZ 1600 COMPACTOR [133]</t>
  </si>
  <si>
    <t>NISSAN   UD 40A M02 [173]</t>
  </si>
  <si>
    <t>NISSAN  UD40 - CHERRY PICKER [173]</t>
  </si>
  <si>
    <t xml:space="preserve">NISSAN  UD 330WF T27 CRANE TRUCK </t>
  </si>
  <si>
    <t>2X4</t>
  </si>
  <si>
    <t>2X4 LDV</t>
  </si>
  <si>
    <t xml:space="preserve">TOYOTA DYNA </t>
  </si>
  <si>
    <t>UD 40 CREW CAB</t>
  </si>
  <si>
    <t>UD 40  TIPPER</t>
  </si>
  <si>
    <r>
      <t>21</t>
    </r>
    <r>
      <rPr>
        <b/>
        <sz val="8"/>
        <rFont val="Calibri"/>
        <family val="2"/>
      </rPr>
      <t>m³ COMPACTOR</t>
    </r>
  </si>
  <si>
    <t>UD 85 TIPPER</t>
  </si>
  <si>
    <t>UD 80 HONEY SUCKER</t>
  </si>
  <si>
    <t>UD 80 WATER TANKER</t>
  </si>
  <si>
    <t>NISSAN UD 90</t>
  </si>
  <si>
    <t>V0163</t>
  </si>
  <si>
    <t>V0165</t>
  </si>
  <si>
    <t>V0166</t>
  </si>
  <si>
    <t>DYNA</t>
  </si>
  <si>
    <t>UD 40 CREW CAP</t>
  </si>
  <si>
    <t>UD 80 TIPPER</t>
  </si>
  <si>
    <t>V0188</t>
  </si>
  <si>
    <t>NISSAN  UD 80 C H07 [173] CRANE</t>
  </si>
  <si>
    <t>NISSAN  UD 80 C H07 [063] CRANE</t>
  </si>
  <si>
    <t>CMY 249 L</t>
  </si>
  <si>
    <t>CNF 628 L</t>
  </si>
  <si>
    <t>CNF 616 L</t>
  </si>
  <si>
    <t>CMX 083 L</t>
  </si>
  <si>
    <t>CNF 598 L</t>
  </si>
  <si>
    <t>CNC 461 L</t>
  </si>
  <si>
    <t>desc</t>
  </si>
  <si>
    <t>DNR 338N</t>
  </si>
  <si>
    <t>ISUZU LAW</t>
  </si>
  <si>
    <t>LDV</t>
  </si>
  <si>
    <t>verkoop</t>
  </si>
  <si>
    <t>273958</t>
  </si>
  <si>
    <t>5407586</t>
  </si>
  <si>
    <t>1990 02 08  (1988)</t>
  </si>
  <si>
    <t>DKN 801N</t>
  </si>
  <si>
    <t>TOYOTA STALLION</t>
  </si>
  <si>
    <t>2Y9072188</t>
  </si>
  <si>
    <t>YF50010513</t>
  </si>
  <si>
    <t>1993 03 10  (1993)</t>
  </si>
  <si>
    <t>DLV 284N</t>
  </si>
  <si>
    <t>TOYOTA HILUX 4X4</t>
  </si>
  <si>
    <t>wshop</t>
  </si>
  <si>
    <t>4Y01351501</t>
  </si>
  <si>
    <t>YN679003631</t>
  </si>
  <si>
    <t>1987 08 24  (1987)</t>
  </si>
  <si>
    <t>DLF 728N</t>
  </si>
  <si>
    <t>TRAILOR</t>
  </si>
  <si>
    <t>T</t>
  </si>
  <si>
    <t>traffic</t>
  </si>
  <si>
    <t>5987070902</t>
  </si>
  <si>
    <t>1987 07 15  (1975)</t>
  </si>
  <si>
    <t>DNR 351N</t>
  </si>
  <si>
    <t>59820824</t>
  </si>
  <si>
    <t>1982 12 01  (1982)</t>
  </si>
  <si>
    <t>DNP 896N</t>
  </si>
  <si>
    <t>59820825</t>
  </si>
  <si>
    <t xml:space="preserve">DLV 287N </t>
  </si>
  <si>
    <t>VENTER TRAILOR</t>
  </si>
  <si>
    <t>VA777221</t>
  </si>
  <si>
    <t>1984 08 23 (1984)</t>
  </si>
  <si>
    <t>DNR 348N</t>
  </si>
  <si>
    <t>WELFIT ODDY TRAILOR</t>
  </si>
  <si>
    <t>1217/82</t>
  </si>
  <si>
    <t>1983 01 25  (1982)</t>
  </si>
  <si>
    <t>DNP 894N</t>
  </si>
  <si>
    <t xml:space="preserve">T </t>
  </si>
  <si>
    <t>10800709</t>
  </si>
  <si>
    <t>1984 10 04  (1985)</t>
  </si>
  <si>
    <t>DLV 289N</t>
  </si>
  <si>
    <t>FORD TRUCTOR</t>
  </si>
  <si>
    <t>T/R</t>
  </si>
  <si>
    <t>POO84</t>
  </si>
  <si>
    <t>CS11300</t>
  </si>
  <si>
    <t>1982 08 31  (1982)</t>
  </si>
  <si>
    <t>DNB 902N</t>
  </si>
  <si>
    <t>MAZDA B 1600</t>
  </si>
  <si>
    <t>302729</t>
  </si>
  <si>
    <t>NR286512</t>
  </si>
  <si>
    <t>1987 10 19  (1987)</t>
  </si>
  <si>
    <t>DNP 897N</t>
  </si>
  <si>
    <t>2Y9067923</t>
  </si>
  <si>
    <t>YF50008472</t>
  </si>
  <si>
    <t>1993 02 08  (1993)</t>
  </si>
  <si>
    <t>DLF 680N</t>
  </si>
  <si>
    <t>M BENZ TRUCK</t>
  </si>
  <si>
    <t>H/V</t>
  </si>
  <si>
    <t>MBO1050SA045158S</t>
  </si>
  <si>
    <t>38300726012903</t>
  </si>
  <si>
    <t>1990 03 28  (1990)</t>
  </si>
  <si>
    <t>DLV 307N</t>
  </si>
  <si>
    <t>swm</t>
  </si>
  <si>
    <t>MK01034SA074199W</t>
  </si>
  <si>
    <t>39734662999347</t>
  </si>
  <si>
    <t>1993 06 23  (1993)</t>
  </si>
  <si>
    <t>DLV 298N</t>
  </si>
  <si>
    <t>TOYOTA HILUX</t>
  </si>
  <si>
    <t>22R4057781</t>
  </si>
  <si>
    <t>RN6700002201</t>
  </si>
  <si>
    <t>1995 06 20  (1995)</t>
  </si>
  <si>
    <t>DLV 297N</t>
  </si>
  <si>
    <t>mm</t>
  </si>
  <si>
    <t>22R4087296</t>
  </si>
  <si>
    <t>RN6700002869</t>
  </si>
  <si>
    <t>DNP 885N</t>
  </si>
  <si>
    <t>4Y9032876</t>
  </si>
  <si>
    <t>YN670025273</t>
  </si>
  <si>
    <t>1989  12 05  (1989)</t>
  </si>
  <si>
    <t>DLV 299N</t>
  </si>
  <si>
    <t>4Y9089313</t>
  </si>
  <si>
    <t>31YN6707007774</t>
  </si>
  <si>
    <t>1994 06 02  (1994)</t>
  </si>
  <si>
    <t>DNP 893N</t>
  </si>
  <si>
    <t>MITSUBISHI TRUCK</t>
  </si>
  <si>
    <t>FL2790</t>
  </si>
  <si>
    <t>FL096402</t>
  </si>
  <si>
    <t>1985 12 24  (1985)</t>
  </si>
  <si>
    <t>DNP 886N</t>
  </si>
  <si>
    <t>23397</t>
  </si>
  <si>
    <t>NR368981</t>
  </si>
  <si>
    <t>1988 12 02  (1988)</t>
  </si>
  <si>
    <t>DNP 889N</t>
  </si>
  <si>
    <t>parks</t>
  </si>
  <si>
    <t>25578</t>
  </si>
  <si>
    <t>NR367447</t>
  </si>
  <si>
    <t>1998 12 02  (1998)</t>
  </si>
  <si>
    <t>DNB 904N</t>
  </si>
  <si>
    <t>LD82096SA030277T</t>
  </si>
  <si>
    <t>NR422867</t>
  </si>
  <si>
    <t>1989 10 17  (1989)</t>
  </si>
  <si>
    <t>DNB 905N</t>
  </si>
  <si>
    <t>302487</t>
  </si>
  <si>
    <t>NR420109</t>
  </si>
  <si>
    <t>DLV 314N</t>
  </si>
  <si>
    <t>FORD TRITON</t>
  </si>
  <si>
    <t>M/V</t>
  </si>
  <si>
    <t>LD82096SA037401W</t>
  </si>
  <si>
    <t>NR581849H</t>
  </si>
  <si>
    <t>1992 06 11  (1992)</t>
  </si>
  <si>
    <t>DLG 109N</t>
  </si>
  <si>
    <t>NISSAN TRUCK</t>
  </si>
  <si>
    <t>PD645721</t>
  </si>
  <si>
    <t>2297D</t>
  </si>
  <si>
    <t>1981 10 27  (1981)</t>
  </si>
  <si>
    <t>DMS 571N</t>
  </si>
  <si>
    <t>ISUZU TRUCK</t>
  </si>
  <si>
    <t>SA013654K</t>
  </si>
  <si>
    <t>5260023</t>
  </si>
  <si>
    <t>1983  11 22  (1983)</t>
  </si>
  <si>
    <t>DKL 578N</t>
  </si>
  <si>
    <t>MITSHUBISHI TRUCK</t>
  </si>
  <si>
    <t>023721L</t>
  </si>
  <si>
    <t>FL355807</t>
  </si>
  <si>
    <t>1986 01 10  (1985)</t>
  </si>
  <si>
    <t>DLV 312N</t>
  </si>
  <si>
    <t xml:space="preserve">M/BENZ TRUCK </t>
  </si>
  <si>
    <t>MK01034SA072551</t>
  </si>
  <si>
    <t>39730862999974</t>
  </si>
  <si>
    <t>1992 06 30  (1992)</t>
  </si>
  <si>
    <t>DNR 346N</t>
  </si>
  <si>
    <t>KOMP</t>
  </si>
  <si>
    <t>6430112</t>
  </si>
  <si>
    <t>678226</t>
  </si>
  <si>
    <t>1982 02 05  (1982)</t>
  </si>
  <si>
    <t>DKX 042N</t>
  </si>
  <si>
    <t>MITSHUBISHI CANTER</t>
  </si>
  <si>
    <t>4D31B16458</t>
  </si>
  <si>
    <t>NR659878</t>
  </si>
  <si>
    <t>1994 04 13  (1994)</t>
  </si>
  <si>
    <t>DLG 098N</t>
  </si>
  <si>
    <t>5987070908</t>
  </si>
  <si>
    <t>1987 07 15  (1967)</t>
  </si>
  <si>
    <t>DLF 731N</t>
  </si>
  <si>
    <t>5987070905</t>
  </si>
  <si>
    <t>1987 07 15  (1960)</t>
  </si>
  <si>
    <t>DNB 893N</t>
  </si>
  <si>
    <t>10801092</t>
  </si>
  <si>
    <t>1990 09 26  (1990)</t>
  </si>
  <si>
    <t>DLV 309N</t>
  </si>
  <si>
    <t>VENTER ELITE  6 TRAILOR</t>
  </si>
  <si>
    <t>V92681719</t>
  </si>
  <si>
    <t>1992 07 15  (1992)</t>
  </si>
  <si>
    <t>DLV 304N</t>
  </si>
  <si>
    <t>SKH3992</t>
  </si>
  <si>
    <t>1993 07 13  (1993)</t>
  </si>
  <si>
    <t>DNB 892N</t>
  </si>
  <si>
    <t>MAZDA B1600</t>
  </si>
  <si>
    <t>302394</t>
  </si>
  <si>
    <t>R2862511</t>
  </si>
  <si>
    <t>1987 09 23  (1987)</t>
  </si>
  <si>
    <t>DNB 894N</t>
  </si>
  <si>
    <t>FORD COURIER</t>
  </si>
  <si>
    <t>F6342523</t>
  </si>
  <si>
    <t>NR475520H</t>
  </si>
  <si>
    <t>1990 09 27  (1990)</t>
  </si>
  <si>
    <t>DLF 679N</t>
  </si>
  <si>
    <t>85450787</t>
  </si>
  <si>
    <t>NR631740</t>
  </si>
  <si>
    <t>1991 07 01  (1991)</t>
  </si>
  <si>
    <t>DKX 041N</t>
  </si>
  <si>
    <t>2Y9089411</t>
  </si>
  <si>
    <t>32YF5000019666</t>
  </si>
  <si>
    <t>1994 04 26  (1994)</t>
  </si>
  <si>
    <t>DKG 299N</t>
  </si>
  <si>
    <t>LD82096SA03820W</t>
  </si>
  <si>
    <t>NR618105</t>
  </si>
  <si>
    <t>1993 05 11  (1993)</t>
  </si>
  <si>
    <t>DKG 301N</t>
  </si>
  <si>
    <t>LD82096SA038104W</t>
  </si>
  <si>
    <t>NR618107</t>
  </si>
  <si>
    <t>DLV 296N</t>
  </si>
  <si>
    <t>MITSUBISHI CANTER</t>
  </si>
  <si>
    <t>4031B75423</t>
  </si>
  <si>
    <t>NR051011</t>
  </si>
  <si>
    <t xml:space="preserve">1995 06 26  (1995) </t>
  </si>
  <si>
    <t>DLV 295N</t>
  </si>
  <si>
    <t>LD82096SA042785A</t>
  </si>
  <si>
    <t>NR044835</t>
  </si>
  <si>
    <t>1995 06 26  (1995)</t>
  </si>
  <si>
    <t>DLG 100N</t>
  </si>
  <si>
    <t>FORD TRECTOR</t>
  </si>
  <si>
    <t>D385182</t>
  </si>
  <si>
    <t>16337</t>
  </si>
  <si>
    <t>1987 07 14  (1973)</t>
  </si>
  <si>
    <t>DLG 112N</t>
  </si>
  <si>
    <t>D046949</t>
  </si>
  <si>
    <t>TS04BA45376</t>
  </si>
  <si>
    <t>1981  09 30  (1981)</t>
  </si>
  <si>
    <t>BGC 439N</t>
  </si>
  <si>
    <t>EA598488</t>
  </si>
  <si>
    <t>NR107989</t>
  </si>
  <si>
    <t>1996 04 10  (1996)</t>
  </si>
  <si>
    <t>DLF 735N</t>
  </si>
  <si>
    <t xml:space="preserve">FORD 5000 TREKKER </t>
  </si>
  <si>
    <t>E1578509L20B</t>
  </si>
  <si>
    <t>E1578509L</t>
  </si>
  <si>
    <t>1987 07 15  (1970)</t>
  </si>
  <si>
    <t>DLG 104N</t>
  </si>
  <si>
    <t>LD82009SA005422K</t>
  </si>
  <si>
    <t>2692</t>
  </si>
  <si>
    <t>1983 10 26  (1983</t>
  </si>
  <si>
    <t>DKN 792N</t>
  </si>
  <si>
    <t>D0000667</t>
  </si>
  <si>
    <t>TSO6EEY79348</t>
  </si>
  <si>
    <t>1984 09 18  (1984)</t>
  </si>
  <si>
    <t xml:space="preserve">DLV 293N </t>
  </si>
  <si>
    <t>D000668</t>
  </si>
  <si>
    <t>TSO4EE79347</t>
  </si>
  <si>
    <t xml:space="preserve">DKN 799N </t>
  </si>
  <si>
    <t>25770</t>
  </si>
  <si>
    <t>NR702256</t>
  </si>
  <si>
    <t>1988 12 07  (1988)</t>
  </si>
  <si>
    <t>DKN 793N</t>
  </si>
  <si>
    <t>FERGUSON TRAILOR</t>
  </si>
  <si>
    <t>5987070901</t>
  </si>
  <si>
    <t>1987 08 11  (1960)</t>
  </si>
  <si>
    <t>DLF 737N</t>
  </si>
  <si>
    <t>5987070903</t>
  </si>
  <si>
    <t>1987 07 15  (1974)</t>
  </si>
  <si>
    <t>DLF 682N</t>
  </si>
  <si>
    <t>WATER TANK</t>
  </si>
  <si>
    <t>5987070904</t>
  </si>
  <si>
    <t>1987 07 15  (1973)</t>
  </si>
  <si>
    <t>DKX 038N</t>
  </si>
  <si>
    <t>POLE TRAILOR</t>
  </si>
  <si>
    <t>10604</t>
  </si>
  <si>
    <t>1981 11 25  (1981)</t>
  </si>
  <si>
    <t>DLV 291N</t>
  </si>
  <si>
    <t>10605</t>
  </si>
  <si>
    <t>1981 11 25   (1981)</t>
  </si>
  <si>
    <t>DKX 039N</t>
  </si>
  <si>
    <t>1982 01 19  (1982)</t>
  </si>
  <si>
    <t>DLF 733N</t>
  </si>
  <si>
    <t>JOUBERT TRAILOR</t>
  </si>
  <si>
    <t>5987070909</t>
  </si>
  <si>
    <t>DNR 343N</t>
  </si>
  <si>
    <t>598409101540</t>
  </si>
  <si>
    <t>1994 09 18  (1994)</t>
  </si>
  <si>
    <t>DNB 901N</t>
  </si>
  <si>
    <t>2000 PEGO TRAILOR</t>
  </si>
  <si>
    <t>1921-01</t>
  </si>
  <si>
    <t>1985 10 24  (1985)</t>
  </si>
  <si>
    <t>DMS 580N</t>
  </si>
  <si>
    <t>10801112</t>
  </si>
  <si>
    <t>1991 11 01  (1991)</t>
  </si>
  <si>
    <t>DMS 582N</t>
  </si>
  <si>
    <t>LAWNMOWER TRAILOR</t>
  </si>
  <si>
    <t>TBC 5991111541</t>
  </si>
  <si>
    <t>1991 11 19  (1991)</t>
  </si>
  <si>
    <t>DNB 889N</t>
  </si>
  <si>
    <t>193417</t>
  </si>
  <si>
    <t>193423</t>
  </si>
  <si>
    <t>1987 08 13  (1973)</t>
  </si>
  <si>
    <t>DLF 729N</t>
  </si>
  <si>
    <t>WELDER TRAILOR</t>
  </si>
  <si>
    <t>DMS 569N</t>
  </si>
  <si>
    <t>10800421</t>
  </si>
  <si>
    <t>1981 11 13  (1981)</t>
  </si>
  <si>
    <t xml:space="preserve">DLV 286N </t>
  </si>
  <si>
    <t>E/M</t>
  </si>
  <si>
    <t>277340482</t>
  </si>
  <si>
    <t>6551544</t>
  </si>
  <si>
    <t>1987 08 13  (1975)</t>
  </si>
  <si>
    <t>DLG 106N</t>
  </si>
  <si>
    <t>120838PHZ</t>
  </si>
  <si>
    <t>1194</t>
  </si>
  <si>
    <t xml:space="preserve">1982 05 14  (1982) </t>
  </si>
  <si>
    <t>DNB 886N</t>
  </si>
  <si>
    <t>FLEXIAN TRAILOR</t>
  </si>
  <si>
    <t>125</t>
  </si>
  <si>
    <t>1982 09 02  (1982)</t>
  </si>
  <si>
    <t>DNB 899N</t>
  </si>
  <si>
    <t>BOMAG TRAILOR</t>
  </si>
  <si>
    <t>BW7600184</t>
  </si>
  <si>
    <t>1985 10 09  (1985)</t>
  </si>
  <si>
    <t>DNP 901N</t>
  </si>
  <si>
    <t>VERMEER 620 BC TRAILOR</t>
  </si>
  <si>
    <t>08121M1001430</t>
  </si>
  <si>
    <t>1992 02 24  (1992)</t>
  </si>
  <si>
    <t>DNR 342N</t>
  </si>
  <si>
    <t>FGL9126337447</t>
  </si>
  <si>
    <t>8414113</t>
  </si>
  <si>
    <t>1988 02 08  (1988)</t>
  </si>
  <si>
    <t>DKX 035N</t>
  </si>
  <si>
    <t>5655328</t>
  </si>
  <si>
    <t>SAPTR394</t>
  </si>
  <si>
    <t>1982 05 04  (1982)</t>
  </si>
  <si>
    <t>DLF 681N</t>
  </si>
  <si>
    <t>TOYOTA HINO TRUCK</t>
  </si>
  <si>
    <t>MBO1074SA040664P</t>
  </si>
  <si>
    <t>GDB12010034</t>
  </si>
  <si>
    <t>1998 01 13  (1998)</t>
  </si>
  <si>
    <t>DLG 108N</t>
  </si>
  <si>
    <t>334202</t>
  </si>
  <si>
    <t>S174109</t>
  </si>
  <si>
    <t>1982 04 26  (1982)</t>
  </si>
  <si>
    <t>DMS 574N</t>
  </si>
  <si>
    <t>MCO1021SA0211401</t>
  </si>
  <si>
    <t>22015</t>
  </si>
  <si>
    <t>1984 10 19  (1984)</t>
  </si>
  <si>
    <t>DMS 576N</t>
  </si>
  <si>
    <t>007772J</t>
  </si>
  <si>
    <t>FL455595</t>
  </si>
  <si>
    <t>1984 11 15  (1984)</t>
  </si>
  <si>
    <t>DKX 043N</t>
  </si>
  <si>
    <t>4D31B30508</t>
  </si>
  <si>
    <t>NR670076</t>
  </si>
  <si>
    <t>BCC 135N</t>
  </si>
  <si>
    <t>715343A</t>
  </si>
  <si>
    <t>437690</t>
  </si>
  <si>
    <t>1995 11 21  (1995)</t>
  </si>
  <si>
    <t>BCC 136N</t>
  </si>
  <si>
    <t>714644A</t>
  </si>
  <si>
    <t>437631</t>
  </si>
  <si>
    <t>BCC 137N</t>
  </si>
  <si>
    <t>702922A</t>
  </si>
  <si>
    <t>527134</t>
  </si>
  <si>
    <t>DLG 101N</t>
  </si>
  <si>
    <t>07Z15578</t>
  </si>
  <si>
    <t>61W0558</t>
  </si>
  <si>
    <t>1987 02 06  (1987)</t>
  </si>
  <si>
    <t>DLG 107N</t>
  </si>
  <si>
    <t>FORD COUNTY</t>
  </si>
  <si>
    <t>G562998</t>
  </si>
  <si>
    <t>BG57786</t>
  </si>
  <si>
    <t>DMS 578N</t>
  </si>
  <si>
    <t>7379229</t>
  </si>
  <si>
    <t>101400240231</t>
  </si>
  <si>
    <t>1987 11 10  (1987)</t>
  </si>
  <si>
    <t>DNR 336N</t>
  </si>
  <si>
    <t>DRESSER</t>
  </si>
  <si>
    <t>44271366</t>
  </si>
  <si>
    <t>SAG5521</t>
  </si>
  <si>
    <t>1989 01 05  (1989)</t>
  </si>
  <si>
    <t>DLV 326N</t>
  </si>
  <si>
    <t>RAMSOMES TRECTOR</t>
  </si>
  <si>
    <t>D95697265</t>
  </si>
  <si>
    <t>E1419</t>
  </si>
  <si>
    <t>1991  07 31  (1991)</t>
  </si>
  <si>
    <t>DBD 676N</t>
  </si>
  <si>
    <t>22R4155307</t>
  </si>
  <si>
    <t>AHT31RN6700006251</t>
  </si>
  <si>
    <t>1996 07 10  (1996)</t>
  </si>
  <si>
    <t>DGC 622N</t>
  </si>
  <si>
    <t>NISSAN 1400</t>
  </si>
  <si>
    <t>A14S194890F</t>
  </si>
  <si>
    <t>ADN4080000A417989</t>
  </si>
  <si>
    <t>1997 05 07  (1997)</t>
  </si>
  <si>
    <t>DGC 623N</t>
  </si>
  <si>
    <t>A14S196237F</t>
  </si>
  <si>
    <t>ADN4080000A419391</t>
  </si>
  <si>
    <t>DCG 466N</t>
  </si>
  <si>
    <t>TOYOTA CANTER</t>
  </si>
  <si>
    <t>4Y9115400</t>
  </si>
  <si>
    <t>AHT32YUM000000226</t>
  </si>
  <si>
    <t>1997 05 26  (1997)</t>
  </si>
  <si>
    <t>DDX 058N</t>
  </si>
  <si>
    <t>22R4208288</t>
  </si>
  <si>
    <t>AHT31RN6700008321</t>
  </si>
  <si>
    <t>1997 06 12  (1997)</t>
  </si>
  <si>
    <t>DDX 062N</t>
  </si>
  <si>
    <t>22R4209346</t>
  </si>
  <si>
    <t>AHT31RN06700008607</t>
  </si>
  <si>
    <t>DHC 017N</t>
  </si>
  <si>
    <t>MERCEDES BENZ PLATBAK</t>
  </si>
  <si>
    <t>MJ02033SA100918C</t>
  </si>
  <si>
    <t>ADB3973426004733</t>
  </si>
  <si>
    <t>1997 07 03  (1997)</t>
  </si>
  <si>
    <t>DHT 487N</t>
  </si>
  <si>
    <t>TOYOTA CAMERY</t>
  </si>
  <si>
    <t>SED</t>
  </si>
  <si>
    <t>5S4176796</t>
  </si>
  <si>
    <t>AHT53SK1009521778</t>
  </si>
  <si>
    <t>1997 09 16  (1997)</t>
  </si>
  <si>
    <t>DJH 087N</t>
  </si>
  <si>
    <t>598011W</t>
  </si>
  <si>
    <t>3CX4TSM406112</t>
  </si>
  <si>
    <t>1997 11 11  (1997)</t>
  </si>
  <si>
    <t>DLH 929N</t>
  </si>
  <si>
    <t>CITY GOLF 1.3</t>
  </si>
  <si>
    <t>GY141489</t>
  </si>
  <si>
    <t>AAVZZZ17ZWU007448</t>
  </si>
  <si>
    <t>1998 05 14  (1998)</t>
  </si>
  <si>
    <t>DLH 939N</t>
  </si>
  <si>
    <t>GY141285</t>
  </si>
  <si>
    <t>AAVZZZ17ZWU007065</t>
  </si>
  <si>
    <t>DLH 938N</t>
  </si>
  <si>
    <t>NISSAN CABSTAR</t>
  </si>
  <si>
    <t>FD46-010262</t>
  </si>
  <si>
    <t>ADN55200000000443</t>
  </si>
  <si>
    <t>1998 05 18  (1998)</t>
  </si>
  <si>
    <t>DPX 413N</t>
  </si>
  <si>
    <t>HYUNDAI</t>
  </si>
  <si>
    <t>D4BBW599267</t>
  </si>
  <si>
    <t>KMFXKN7BRXU205804</t>
  </si>
  <si>
    <t>1998 10 19  (1998)</t>
  </si>
  <si>
    <t>DRS 109N</t>
  </si>
  <si>
    <t>HYUNDAI LAW</t>
  </si>
  <si>
    <t>D4BBW590736</t>
  </si>
  <si>
    <t>KMFXKNYBRXU200594</t>
  </si>
  <si>
    <t>1999 01 04  (1999)</t>
  </si>
  <si>
    <t>DST 930N</t>
  </si>
  <si>
    <t xml:space="preserve">ISUZU KB </t>
  </si>
  <si>
    <t>20LE25001084</t>
  </si>
  <si>
    <t>ADMTFR29HAM888530</t>
  </si>
  <si>
    <t>1999 06 10  (1999)</t>
  </si>
  <si>
    <t>DST 931N</t>
  </si>
  <si>
    <t>ISUZU KB</t>
  </si>
  <si>
    <t>20LE25001203</t>
  </si>
  <si>
    <t>ADMTFR29HAM887479</t>
  </si>
  <si>
    <t>DST 933N</t>
  </si>
  <si>
    <t>20LE25000768</t>
  </si>
  <si>
    <t>ADMTFR29HAM874322</t>
  </si>
  <si>
    <t>DST 927N</t>
  </si>
  <si>
    <t>stores</t>
  </si>
  <si>
    <t>20LE25000987</t>
  </si>
  <si>
    <t>ADMTFR29HAM888528</t>
  </si>
  <si>
    <t>DSV 397N</t>
  </si>
  <si>
    <t>D4BBX708909</t>
  </si>
  <si>
    <t>KMFXKN7BRXU268899</t>
  </si>
  <si>
    <t>1999 06 15  (1999)</t>
  </si>
  <si>
    <t>DSV 395N</t>
  </si>
  <si>
    <t xml:space="preserve">HYUNDAI </t>
  </si>
  <si>
    <t>D4BBW692565</t>
  </si>
  <si>
    <t>KMFXKN7BRXU259215</t>
  </si>
  <si>
    <t>DSV 434N</t>
  </si>
  <si>
    <t>COLT 4X4</t>
  </si>
  <si>
    <t>4G64XR8614</t>
  </si>
  <si>
    <t>ABJK 73JNRWE007987</t>
  </si>
  <si>
    <t>1999 06 18  (1999)</t>
  </si>
  <si>
    <t>DSW 141N</t>
  </si>
  <si>
    <t>D4BBX709692</t>
  </si>
  <si>
    <t>KMFXKN7BRXU269507</t>
  </si>
  <si>
    <t>1999 06 25  (1999)</t>
  </si>
  <si>
    <t>DWD 351N</t>
  </si>
  <si>
    <t xml:space="preserve">NEW HOLLAND TRACTOR </t>
  </si>
  <si>
    <t>mdc</t>
  </si>
  <si>
    <t>206538756</t>
  </si>
  <si>
    <t>NH5556L0001166711</t>
  </si>
  <si>
    <t>2000 05 23  (2000)</t>
  </si>
  <si>
    <t>DWD 352N</t>
  </si>
  <si>
    <t>206542668</t>
  </si>
  <si>
    <t>NH5556L0001167480</t>
  </si>
  <si>
    <t>2000 05 24  (2000)</t>
  </si>
  <si>
    <t>DWD 401N</t>
  </si>
  <si>
    <t>4G64BN0009</t>
  </si>
  <si>
    <t>ABJK75ENRYE016558</t>
  </si>
  <si>
    <t>2002 05 25  (2002)</t>
  </si>
  <si>
    <t>DWD 688N</t>
  </si>
  <si>
    <t>4G64BN0011</t>
  </si>
  <si>
    <t>ABJK75ENRYE016555</t>
  </si>
  <si>
    <t>2000 05 29  (2000)</t>
  </si>
  <si>
    <t>DWD 690N</t>
  </si>
  <si>
    <t>4G64BN0068</t>
  </si>
  <si>
    <t>ABJK75ENRYE016560</t>
  </si>
  <si>
    <t>DWF 166N</t>
  </si>
  <si>
    <t>TOYOTA DYNA</t>
  </si>
  <si>
    <t>5L4902182</t>
  </si>
  <si>
    <t>JT731LYM209996347</t>
  </si>
  <si>
    <t>2000 05 31   (2000)</t>
  </si>
  <si>
    <t>DWF 168N</t>
  </si>
  <si>
    <t>5L4856873</t>
  </si>
  <si>
    <t>JT731LYM209996179</t>
  </si>
  <si>
    <t>2000 05 31  (2000)</t>
  </si>
  <si>
    <t>DWF 408N</t>
  </si>
  <si>
    <t>4JA1702719</t>
  </si>
  <si>
    <t>ADMTFR54HTM928452</t>
  </si>
  <si>
    <t>2000 06 05  (2000)</t>
  </si>
  <si>
    <t>DWF 409N</t>
  </si>
  <si>
    <t>A4JA1686949</t>
  </si>
  <si>
    <t>ADMTFR54HTM929963</t>
  </si>
  <si>
    <t>DWF 413N</t>
  </si>
  <si>
    <t>4JA1687033</t>
  </si>
  <si>
    <t>ADMTFR54HTM930859</t>
  </si>
  <si>
    <t>DWF 415N</t>
  </si>
  <si>
    <t>4JA1686909</t>
  </si>
  <si>
    <t>ADMTFR54HTM929962</t>
  </si>
  <si>
    <t>2000 06 02   (2000)</t>
  </si>
  <si>
    <t>DWF 416N</t>
  </si>
  <si>
    <t>4JA1686857</t>
  </si>
  <si>
    <t>ADMTFR54HTM930134</t>
  </si>
  <si>
    <t>DWG 231N</t>
  </si>
  <si>
    <t>MAZDA 323</t>
  </si>
  <si>
    <t>3B89001</t>
  </si>
  <si>
    <t>AFAVXDL41VR327659</t>
  </si>
  <si>
    <t>2000 06 12  (2000)</t>
  </si>
  <si>
    <t>DWG 232N</t>
  </si>
  <si>
    <t>3B87656</t>
  </si>
  <si>
    <t>AFAVXDL41VR324483</t>
  </si>
  <si>
    <t>DWF 970N</t>
  </si>
  <si>
    <t>4G64BN0025</t>
  </si>
  <si>
    <t>ABJK75ENRYE016556</t>
  </si>
  <si>
    <t>2000 06 09  (2000)</t>
  </si>
  <si>
    <t>DWF 971N</t>
  </si>
  <si>
    <t>4G64BN0010</t>
  </si>
  <si>
    <t>ABJK75ENRYE016449</t>
  </si>
  <si>
    <t>DWF 974N</t>
  </si>
  <si>
    <t>AG64BN0008</t>
  </si>
  <si>
    <t>ABJK75ENRYE016557</t>
  </si>
  <si>
    <t>2000 06 09 (2000)</t>
  </si>
  <si>
    <t>DWG 865N</t>
  </si>
  <si>
    <t>ISUZU TIPTROK</t>
  </si>
  <si>
    <t>6HH1291101</t>
  </si>
  <si>
    <t>ADMFTR33MXZ933933</t>
  </si>
  <si>
    <t>2000 06 08  (2000)</t>
  </si>
  <si>
    <t>DWG 864N</t>
  </si>
  <si>
    <t>ISUZU TIPPER</t>
  </si>
  <si>
    <t>11111L94</t>
  </si>
  <si>
    <t>ADMNR70RSXZ931847</t>
  </si>
  <si>
    <t>DWG 863N</t>
  </si>
  <si>
    <t>11111M04</t>
  </si>
  <si>
    <t>ADMNR70RSXZ931846</t>
  </si>
  <si>
    <t>DXV 047N</t>
  </si>
  <si>
    <t>FLAT DECK TRAILER (SPIDER)</t>
  </si>
  <si>
    <t>AAPV0450160284240</t>
  </si>
  <si>
    <t>2001 03 20  (2001)</t>
  </si>
  <si>
    <t>DSR 624N</t>
  </si>
  <si>
    <t>TOYOTA SWB TIPPER</t>
  </si>
  <si>
    <t>MBO1012SA088814P</t>
  </si>
  <si>
    <t>ODA107905</t>
  </si>
  <si>
    <t>1999 05 13  (1998)</t>
  </si>
  <si>
    <t>DSG 453N</t>
  </si>
  <si>
    <t>HINO</t>
  </si>
  <si>
    <t>MBO1057SA010593K</t>
  </si>
  <si>
    <t>FBD16010046</t>
  </si>
  <si>
    <t>1999 03 19  (1998)</t>
  </si>
  <si>
    <t>DWF 195N</t>
  </si>
  <si>
    <t>TOYOTA SEDAN 1300</t>
  </si>
  <si>
    <t>VO260257958</t>
  </si>
  <si>
    <t>EE909832053</t>
  </si>
  <si>
    <t>2000 05 31  (1997)</t>
  </si>
  <si>
    <t>DRS 056N</t>
  </si>
  <si>
    <t>F8512042</t>
  </si>
  <si>
    <t>TBDNL0105TR076891</t>
  </si>
  <si>
    <t>1996 01 01  (1996)</t>
  </si>
  <si>
    <t>DSB 410N</t>
  </si>
  <si>
    <t>VW JETTA</t>
  </si>
  <si>
    <t>HV102480</t>
  </si>
  <si>
    <t>AAVZZZ16ZMU009338</t>
  </si>
  <si>
    <t>1999 02 19  (1995)</t>
  </si>
  <si>
    <t>DRS 628N</t>
  </si>
  <si>
    <t>ISUZU KB20</t>
  </si>
  <si>
    <t>392422</t>
  </si>
  <si>
    <t>ADMTFR12HAM673041</t>
  </si>
  <si>
    <t>1995 01 01  (1995)</t>
  </si>
  <si>
    <t>GAZ2-7189</t>
  </si>
  <si>
    <t xml:space="preserve">JCB 420 </t>
  </si>
  <si>
    <t>DST 958N</t>
  </si>
  <si>
    <t>NISSAN SENTRA</t>
  </si>
  <si>
    <t>GA16699998B</t>
  </si>
  <si>
    <t>ADND050000L020128</t>
  </si>
  <si>
    <t>1996 04 26  (1996)</t>
  </si>
  <si>
    <t>DRX 254N</t>
  </si>
  <si>
    <t>2Y9025590</t>
  </si>
  <si>
    <t>YN510016911</t>
  </si>
  <si>
    <t>1999 01 27  (1997)</t>
  </si>
  <si>
    <t>DTY 066N</t>
  </si>
  <si>
    <t>TOYOTA TIPPER</t>
  </si>
  <si>
    <t>3521880502</t>
  </si>
  <si>
    <t>ODA116107121</t>
  </si>
  <si>
    <t>1999 12 03  (1997)</t>
  </si>
  <si>
    <t>DWW 564N</t>
  </si>
  <si>
    <t>4G64YR2655</t>
  </si>
  <si>
    <t>ABJK73JNRWE010005</t>
  </si>
  <si>
    <t>2000 10 05  (2000)</t>
  </si>
  <si>
    <t>DLL 429N</t>
  </si>
  <si>
    <t>LPM 027A</t>
  </si>
  <si>
    <t>1995 02 06  (1995)</t>
  </si>
  <si>
    <t>DLL 428N</t>
  </si>
  <si>
    <t>90C4436</t>
  </si>
  <si>
    <t>1990 06 20  (1990)</t>
  </si>
  <si>
    <t>FCB 596N</t>
  </si>
  <si>
    <t>FORD RANGER 2.5D</t>
  </si>
  <si>
    <t>WLAT 302559</t>
  </si>
  <si>
    <t>AFAADGH02AR457301</t>
  </si>
  <si>
    <t>2002 06 28  (2002)</t>
  </si>
  <si>
    <t>FCB 598N</t>
  </si>
  <si>
    <t>WLAT 301309</t>
  </si>
  <si>
    <t>AFAADGH02AR456821</t>
  </si>
  <si>
    <t>FCB 608N</t>
  </si>
  <si>
    <t>FORD RANGER  2.5D</t>
  </si>
  <si>
    <t>WLAT301354</t>
  </si>
  <si>
    <t>AFAADGH02AR446359</t>
  </si>
  <si>
    <t>FCB 604N</t>
  </si>
  <si>
    <t>WLAT301375</t>
  </si>
  <si>
    <t>FAAADGH02AR457298</t>
  </si>
  <si>
    <t>FCB 603N</t>
  </si>
  <si>
    <t>WLAT 301353</t>
  </si>
  <si>
    <t>AFAADGH02AR457300</t>
  </si>
  <si>
    <t>FCB 611N</t>
  </si>
  <si>
    <t>MAZDA 1300</t>
  </si>
  <si>
    <t>3B122434</t>
  </si>
  <si>
    <t>AFAVXDL41VR450742</t>
  </si>
  <si>
    <t>FCB 593N</t>
  </si>
  <si>
    <t>3B122469</t>
  </si>
  <si>
    <t>AFAVXD41VR450740</t>
  </si>
  <si>
    <t>FCH 977N</t>
  </si>
  <si>
    <t>MAZDA 2.6 4X4</t>
  </si>
  <si>
    <t>G6303488</t>
  </si>
  <si>
    <t>AFAABHD02AR463375</t>
  </si>
  <si>
    <t>2002 08 14  (2002)</t>
  </si>
  <si>
    <t>FCH 971N</t>
  </si>
  <si>
    <t>G6303391</t>
  </si>
  <si>
    <t>AFAABHD02AR463379</t>
  </si>
  <si>
    <t>FCH 972N</t>
  </si>
  <si>
    <t>G6303396</t>
  </si>
  <si>
    <t>AFAABHDO2AR463378</t>
  </si>
  <si>
    <t xml:space="preserve">FCH 973N </t>
  </si>
  <si>
    <t>G6303482</t>
  </si>
  <si>
    <t>AFAABHDO2AR463374</t>
  </si>
  <si>
    <t>BC 2025</t>
  </si>
  <si>
    <t>BC 3890</t>
  </si>
  <si>
    <t>BC 2019</t>
  </si>
  <si>
    <t>BC 4085</t>
  </si>
  <si>
    <t>DNM 128N</t>
  </si>
  <si>
    <t>FORD FMC FIRE TRUCK</t>
  </si>
  <si>
    <t>fire</t>
  </si>
  <si>
    <t>ML93507SA06564X</t>
  </si>
  <si>
    <t>C70KVJJ5498</t>
  </si>
  <si>
    <t xml:space="preserve">1981 08 14  (1981) </t>
  </si>
  <si>
    <t>DLP 573N</t>
  </si>
  <si>
    <t xml:space="preserve">TOYOTA HILUX </t>
  </si>
  <si>
    <t>3Y0360720</t>
  </si>
  <si>
    <t>YN655003908</t>
  </si>
  <si>
    <t>1985 10 23  (1985)</t>
  </si>
  <si>
    <t xml:space="preserve">DNM 609N </t>
  </si>
  <si>
    <t xml:space="preserve">FORD </t>
  </si>
  <si>
    <t>AC5D00505</t>
  </si>
  <si>
    <t>NR534564</t>
  </si>
  <si>
    <t>DBS 223N</t>
  </si>
  <si>
    <t>243084</t>
  </si>
  <si>
    <t>ADMTFR54DAM73418</t>
  </si>
  <si>
    <t>2000 09 01  (1996)</t>
  </si>
  <si>
    <t>DBR 700N</t>
  </si>
  <si>
    <t>243076</t>
  </si>
  <si>
    <t>ADMTFR54DAM731715</t>
  </si>
  <si>
    <t>1996 05 23  (1996)</t>
  </si>
  <si>
    <t>DHN 457N</t>
  </si>
  <si>
    <t>K6070340</t>
  </si>
  <si>
    <t>NKP2BKW450696</t>
  </si>
  <si>
    <t>1997 07 18  (1997)</t>
  </si>
  <si>
    <t>DGP 620N</t>
  </si>
  <si>
    <t>TRAILOR  GLADIATOR</t>
  </si>
  <si>
    <t>SP300996</t>
  </si>
  <si>
    <t>1996 09 30  (1996)</t>
  </si>
  <si>
    <t>DKN 020N</t>
  </si>
  <si>
    <t>FRIGHT LINER</t>
  </si>
  <si>
    <t>45017422</t>
  </si>
  <si>
    <t>V23FBA6RL606773</t>
  </si>
  <si>
    <t>1994 09 27  (1994)</t>
  </si>
  <si>
    <t>DNM 608N</t>
  </si>
  <si>
    <t>FORD FIRE TRUCK</t>
  </si>
  <si>
    <t>1984 08 28  (1976)</t>
  </si>
  <si>
    <t>DRC 287N</t>
  </si>
  <si>
    <t>E13S064292D</t>
  </si>
  <si>
    <t>H055905</t>
  </si>
  <si>
    <t>1991 11 07  (1991)</t>
  </si>
  <si>
    <t>DMC 038N</t>
  </si>
  <si>
    <t>598507091</t>
  </si>
  <si>
    <t>1985 07 11  (1985)</t>
  </si>
  <si>
    <t>DMC 039N</t>
  </si>
  <si>
    <t>5988031001</t>
  </si>
  <si>
    <t>1988 03 10  (1988)</t>
  </si>
  <si>
    <t>DKR 172N</t>
  </si>
  <si>
    <t>4Y0150091</t>
  </si>
  <si>
    <t>YN679004330</t>
  </si>
  <si>
    <t>1987 09 18  (1987)</t>
  </si>
  <si>
    <t>DHL 604N</t>
  </si>
  <si>
    <t>KARET TRAILOR</t>
  </si>
  <si>
    <t>400A12V185E</t>
  </si>
  <si>
    <t>1994 01 20  (1994)</t>
  </si>
  <si>
    <t>DZS 030N</t>
  </si>
  <si>
    <t>NISSAN AMBULANCE</t>
  </si>
  <si>
    <t>L185277739R</t>
  </si>
  <si>
    <t>N4330000JO46586</t>
  </si>
  <si>
    <t>FHX 724N</t>
  </si>
  <si>
    <t>NISSAN UD 70</t>
  </si>
  <si>
    <t xml:space="preserve">MERCEDES BENZ ML350CDI </t>
  </si>
  <si>
    <t>mayor</t>
  </si>
  <si>
    <t>64282041105280</t>
  </si>
  <si>
    <t>WDC1641252A717978</t>
  </si>
  <si>
    <t>2011 09 [2011]</t>
  </si>
  <si>
    <t>DMN 832N</t>
  </si>
  <si>
    <t>NISSAN 1 TON</t>
  </si>
  <si>
    <t>NA20017766W</t>
  </si>
  <si>
    <t>ADNB0700JO54695J</t>
  </si>
  <si>
    <t>1999 03 15  (1999)</t>
  </si>
  <si>
    <t>DJZ 171N</t>
  </si>
  <si>
    <t>INTERKLAT TRECKTOR</t>
  </si>
  <si>
    <t>21351</t>
  </si>
  <si>
    <t>12658</t>
  </si>
  <si>
    <t>1999 04 05  (1979)</t>
  </si>
  <si>
    <t>DJZ 168N</t>
  </si>
  <si>
    <t>26812D019537</t>
  </si>
  <si>
    <t>B4486LJ4EDU11</t>
  </si>
  <si>
    <t>DJZ 169N</t>
  </si>
  <si>
    <t>A145143069E</t>
  </si>
  <si>
    <t>A956732</t>
  </si>
  <si>
    <t>1983 11 27  (1983)</t>
  </si>
  <si>
    <t>DJY 947N</t>
  </si>
  <si>
    <t>FE832195</t>
  </si>
  <si>
    <t>NR468536</t>
  </si>
  <si>
    <t>1991 06 25  (1991)</t>
  </si>
  <si>
    <t>DJY 946N</t>
  </si>
  <si>
    <t>SLM 10593</t>
  </si>
  <si>
    <t>1995 02 26 (1995)</t>
  </si>
  <si>
    <t>DSD 183N</t>
  </si>
  <si>
    <t xml:space="preserve">NISSAN </t>
  </si>
  <si>
    <t>NA20800831X</t>
  </si>
  <si>
    <t>ADNB07000J054699J</t>
  </si>
  <si>
    <t>1996 04 25  (1996)</t>
  </si>
  <si>
    <t>DSD 186N</t>
  </si>
  <si>
    <t>OPEL ASTRA</t>
  </si>
  <si>
    <t>16NZ02CB8572</t>
  </si>
  <si>
    <t>ADMRM19016U688256</t>
  </si>
  <si>
    <t>DZF 646N</t>
  </si>
  <si>
    <t>804506206482608</t>
  </si>
  <si>
    <t>NW7056L0001151703</t>
  </si>
  <si>
    <t>2001  08  __  (2001)</t>
  </si>
  <si>
    <t xml:space="preserve">DBN 690N </t>
  </si>
  <si>
    <t>MAZDA B 2000</t>
  </si>
  <si>
    <t>FE792654</t>
  </si>
  <si>
    <t>NR 440006</t>
  </si>
  <si>
    <t>DJZ 170N</t>
  </si>
  <si>
    <t>UNIGRADER</t>
  </si>
  <si>
    <t>LPP495A</t>
  </si>
  <si>
    <t>1980 02 10  (1980)</t>
  </si>
  <si>
    <t>NISSAN DIESEL UD 80 A</t>
  </si>
  <si>
    <t>FE6211266B</t>
  </si>
  <si>
    <t>ADDT6700000007279</t>
  </si>
  <si>
    <t>2008 06 [2008]</t>
  </si>
  <si>
    <t>FE6211349B</t>
  </si>
  <si>
    <t>ADDT6700000007367</t>
  </si>
  <si>
    <t>2008 07 [2008]</t>
  </si>
  <si>
    <t>FE6211345B</t>
  </si>
  <si>
    <t>ADDT6700000007368</t>
  </si>
  <si>
    <t>FE6211343B</t>
  </si>
  <si>
    <t>ADDT6700000007369</t>
  </si>
  <si>
    <t>2008 08 [2008]</t>
  </si>
  <si>
    <t>FE6211350B</t>
  </si>
  <si>
    <t>ADDT6700000007366</t>
  </si>
  <si>
    <t>2008 09 [2008]</t>
  </si>
  <si>
    <t>FE6211401B</t>
  </si>
  <si>
    <t>ADDT6700000007427</t>
  </si>
  <si>
    <t>BNZ 610 L</t>
  </si>
  <si>
    <t>NISSAN DIESEL UD 90 A</t>
  </si>
  <si>
    <t>FE6228014C</t>
  </si>
  <si>
    <t>ADDT6800000008633</t>
  </si>
  <si>
    <t>2009 08 [2009]</t>
  </si>
  <si>
    <t>BNZ 604 L</t>
  </si>
  <si>
    <t>NISSAN DIESEL UD 85 A</t>
  </si>
  <si>
    <t>FE6212593B</t>
  </si>
  <si>
    <t>ADDT6600000008525</t>
  </si>
  <si>
    <t>BYV 520 L</t>
  </si>
  <si>
    <t>FE6228017C</t>
  </si>
  <si>
    <t>ADDT6800000008632</t>
  </si>
  <si>
    <t>CATERPILLAR GRADER</t>
  </si>
  <si>
    <t>10Z54193</t>
  </si>
  <si>
    <t>CAT0140HPXZH02160</t>
  </si>
  <si>
    <t>2011 11 [2011]</t>
  </si>
  <si>
    <t>10Z53904</t>
  </si>
  <si>
    <t>CAT0140HJXZH02176</t>
  </si>
  <si>
    <t>CNG 476 L</t>
  </si>
  <si>
    <t>CNG 464 L</t>
  </si>
  <si>
    <t>CNG 468 L</t>
  </si>
  <si>
    <t>CNG 480 L</t>
  </si>
  <si>
    <t>CNN 494 L</t>
  </si>
  <si>
    <t>CNK 299 L</t>
  </si>
  <si>
    <t>CNV 683 L</t>
  </si>
  <si>
    <t>CNN 483 L</t>
  </si>
  <si>
    <t>CNK 296 L</t>
  </si>
  <si>
    <t>CNK 292 L</t>
  </si>
  <si>
    <t>CNV 357 L</t>
  </si>
  <si>
    <t>CNT 192 L</t>
  </si>
  <si>
    <t>58024</t>
  </si>
  <si>
    <t>58026</t>
  </si>
  <si>
    <t xml:space="preserve"> </t>
  </si>
  <si>
    <t>CPR 551L</t>
  </si>
  <si>
    <t>CPP 523 L</t>
  </si>
  <si>
    <t>services</t>
  </si>
  <si>
    <t>014/066/1222</t>
  </si>
  <si>
    <t>MAYOR</t>
  </si>
  <si>
    <t>037-068-1231</t>
  </si>
  <si>
    <t>VEH</t>
  </si>
  <si>
    <t>TASK</t>
  </si>
  <si>
    <t>ELEM</t>
  </si>
  <si>
    <t>VEHICLE BUDGET 2014-2015</t>
  </si>
  <si>
    <t>FORD RANGER</t>
  </si>
  <si>
    <t>DCN 723 L</t>
  </si>
  <si>
    <t>v0190</t>
  </si>
  <si>
    <t>037-056-1043</t>
  </si>
  <si>
    <t>DDC 662 L</t>
  </si>
  <si>
    <t>TRACKING DEVICE</t>
  </si>
  <si>
    <t>ISUZU KB200i 2x4 [036]</t>
  </si>
  <si>
    <t>036</t>
  </si>
  <si>
    <t>NISSAN   NP 300 4X4 [173]</t>
  </si>
  <si>
    <t>FBY 141 L</t>
  </si>
  <si>
    <t>FBY 144 L</t>
  </si>
  <si>
    <t>FBY 146 L</t>
  </si>
  <si>
    <t>FBY 151 L</t>
  </si>
  <si>
    <t>FBY 155 L</t>
  </si>
  <si>
    <t>VEHICLE BUDGET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</si>
</sst>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_(* #,##0.00_);_(* \(#,##0.00\);_(* &quot;-&quot;??_);_(@_)"/>
    <numFmt numFmtId="166" formatCode="0_);\(0\)"/>
    <numFmt numFmtId="167" formatCode="#,##0.00_ ;[Red]\-#,##0.00\ "/>
    <numFmt numFmtId="168" formatCode="#,##0;[Red]#,##0"/>
    <numFmt numFmtId="169" formatCode="_(* #,##0_);_(* \(#,##0\);_(* &quot;-&quot;??_);_(@_)"/>
    <numFmt numFmtId="170" formatCode="#,##0_ ;\-#,##0\ "/>
    <numFmt numFmtId="171" formatCode="&quot;R&quot;\ #,##0.00"/>
  </numFmts>
  <fonts count="42" x14ac:knownFonts="1">
    <font>
      <sz val="10"/>
      <name val="Arial"/>
    </font>
    <font>
      <sz val="10"/>
      <name val="Arial"/>
      <family val="2"/>
    </font>
    <font>
      <b/>
      <u/>
      <sz val="8"/>
      <name val="Consolas"/>
      <family val="3"/>
    </font>
    <font>
      <sz val="8"/>
      <name val="Consolas"/>
      <family val="3"/>
    </font>
    <font>
      <b/>
      <sz val="8"/>
      <name val="Consolas"/>
      <family val="3"/>
    </font>
    <font>
      <sz val="8"/>
      <color indexed="12"/>
      <name val="Consolas"/>
      <family val="3"/>
    </font>
    <font>
      <sz val="8"/>
      <name val="Arial"/>
      <family val="2"/>
    </font>
    <font>
      <b/>
      <sz val="14"/>
      <name val="Arial"/>
      <family val="2"/>
    </font>
    <font>
      <b/>
      <sz val="8"/>
      <color rgb="FFFF0000"/>
      <name val="Consolas"/>
      <family val="3"/>
    </font>
    <font>
      <b/>
      <sz val="8"/>
      <name val="Calibri"/>
      <family val="2"/>
    </font>
    <font>
      <b/>
      <sz val="7"/>
      <name val="Calibri"/>
      <family val="2"/>
      <scheme val="minor"/>
    </font>
    <font>
      <sz val="10"/>
      <name val="Microsoft Sans Serif"/>
      <family val="2"/>
    </font>
    <font>
      <b/>
      <sz val="10"/>
      <name val="Microsoft Sans Serif"/>
      <family val="2"/>
    </font>
    <font>
      <b/>
      <sz val="10"/>
      <color theme="1"/>
      <name val="Consolas"/>
      <family val="3"/>
    </font>
    <font>
      <sz val="10"/>
      <color theme="1"/>
      <name val="Consolas"/>
      <family val="3"/>
    </font>
    <font>
      <sz val="8"/>
      <name val="Agency FB"/>
      <family val="2"/>
    </font>
    <font>
      <sz val="6"/>
      <name val="Consolas"/>
      <family val="3"/>
    </font>
    <font>
      <sz val="8"/>
      <color theme="1"/>
      <name val="Consolas"/>
      <family val="3"/>
    </font>
    <font>
      <b/>
      <sz val="9"/>
      <color theme="1"/>
      <name val="Consolas"/>
      <family val="3"/>
    </font>
    <font>
      <b/>
      <sz val="9"/>
      <name val="Consolas"/>
      <family val="3"/>
    </font>
    <font>
      <sz val="9"/>
      <color theme="1"/>
      <name val="Consolas"/>
      <family val="3"/>
    </font>
    <font>
      <sz val="9"/>
      <name val="Consolas"/>
      <family val="3"/>
    </font>
    <font>
      <sz val="7"/>
      <name val="Consolas"/>
      <family val="3"/>
    </font>
    <font>
      <b/>
      <sz val="7"/>
      <name val="Consolas"/>
      <family val="3"/>
    </font>
    <font>
      <u/>
      <sz val="10"/>
      <color indexed="12"/>
      <name val="Arial"/>
      <family val="2"/>
    </font>
    <font>
      <u/>
      <sz val="8"/>
      <color indexed="12"/>
      <name val="Consolas"/>
      <family val="3"/>
    </font>
    <font>
      <sz val="8"/>
      <color rgb="FFFF0000"/>
      <name val="Consolas"/>
      <family val="3"/>
    </font>
    <font>
      <sz val="10"/>
      <name val="Dotum"/>
      <family val="2"/>
    </font>
    <font>
      <b/>
      <i/>
      <u/>
      <sz val="10"/>
      <name val="Dotum"/>
      <family val="2"/>
    </font>
    <font>
      <sz val="10"/>
      <color theme="1"/>
      <name val="Dotum"/>
      <family val="2"/>
    </font>
    <font>
      <b/>
      <u/>
      <sz val="12"/>
      <name val="Consolas"/>
      <family val="3"/>
    </font>
    <font>
      <sz val="12"/>
      <name val="Consolas"/>
      <family val="3"/>
    </font>
    <font>
      <b/>
      <sz val="12"/>
      <name val="Consolas"/>
      <family val="3"/>
    </font>
    <font>
      <b/>
      <sz val="12"/>
      <color theme="0" tint="-0.34998626667073579"/>
      <name val="Consolas"/>
      <family val="3"/>
    </font>
    <font>
      <sz val="12"/>
      <color theme="0" tint="-0.34998626667073579"/>
      <name val="Consolas"/>
      <family val="3"/>
    </font>
    <font>
      <b/>
      <sz val="12"/>
      <color theme="0" tint="-0.249977111117893"/>
      <name val="Consolas"/>
      <family val="3"/>
    </font>
    <font>
      <sz val="12"/>
      <color theme="0" tint="-0.249977111117893"/>
      <name val="Consolas"/>
      <family val="3"/>
    </font>
    <font>
      <b/>
      <u/>
      <sz val="10"/>
      <name val="Consolas"/>
      <family val="3"/>
    </font>
    <font>
      <sz val="10"/>
      <name val="Consolas"/>
      <family val="3"/>
    </font>
    <font>
      <b/>
      <sz val="10"/>
      <name val="Consolas"/>
      <family val="3"/>
    </font>
    <font>
      <sz val="10"/>
      <color theme="0" tint="-0.34998626667073579"/>
      <name val="Consolas"/>
      <family val="3"/>
    </font>
    <font>
      <sz val="10"/>
      <color theme="0" tint="-0.249977111117893"/>
      <name val="Consolas"/>
      <family val="3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medium">
        <color indexed="64"/>
      </left>
      <right style="thin">
        <color indexed="53"/>
      </right>
      <top style="medium">
        <color indexed="64"/>
      </top>
      <bottom/>
      <diagonal/>
    </border>
    <border>
      <left style="thin">
        <color indexed="53"/>
      </left>
      <right style="thin">
        <color indexed="53"/>
      </right>
      <top style="medium">
        <color indexed="64"/>
      </top>
      <bottom/>
      <diagonal/>
    </border>
    <border>
      <left style="thin">
        <color indexed="5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57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Fill="1" applyBorder="1"/>
    <xf numFmtId="0" fontId="4" fillId="0" borderId="1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1" applyFont="1" applyFill="1" applyBorder="1"/>
    <xf numFmtId="168" fontId="3" fillId="0" borderId="1" xfId="0" applyNumberFormat="1" applyFont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Border="1"/>
    <xf numFmtId="0" fontId="3" fillId="0" borderId="1" xfId="0" applyFont="1" applyBorder="1"/>
    <xf numFmtId="165" fontId="3" fillId="0" borderId="1" xfId="1" applyFont="1" applyBorder="1"/>
    <xf numFmtId="165" fontId="4" fillId="0" borderId="1" xfId="1" applyFont="1" applyBorder="1"/>
    <xf numFmtId="165" fontId="3" fillId="0" borderId="0" xfId="1" applyFont="1"/>
    <xf numFmtId="168" fontId="4" fillId="0" borderId="1" xfId="0" applyNumberFormat="1" applyFont="1" applyBorder="1" applyAlignment="1">
      <alignment horizontal="center"/>
    </xf>
    <xf numFmtId="168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165" fontId="3" fillId="0" borderId="0" xfId="1" applyFont="1" applyBorder="1"/>
    <xf numFmtId="165" fontId="3" fillId="0" borderId="0" xfId="1" applyFont="1" applyBorder="1" applyAlignment="1">
      <alignment horizontal="center"/>
    </xf>
    <xf numFmtId="168" fontId="3" fillId="0" borderId="0" xfId="0" applyNumberFormat="1" applyFont="1" applyFill="1" applyBorder="1" applyAlignment="1">
      <alignment horizontal="center"/>
    </xf>
    <xf numFmtId="168" fontId="3" fillId="0" borderId="0" xfId="0" applyNumberFormat="1" applyFont="1" applyFill="1" applyAlignment="1">
      <alignment horizontal="center"/>
    </xf>
    <xf numFmtId="165" fontId="4" fillId="0" borderId="0" xfId="1" applyFont="1" applyFill="1" applyBorder="1"/>
    <xf numFmtId="0" fontId="3" fillId="0" borderId="0" xfId="0" applyFont="1" applyFill="1" applyBorder="1"/>
    <xf numFmtId="0" fontId="4" fillId="0" borderId="1" xfId="0" applyFont="1" applyBorder="1" applyAlignment="1">
      <alignment horizontal="center"/>
    </xf>
    <xf numFmtId="165" fontId="3" fillId="0" borderId="1" xfId="1" applyFont="1" applyBorder="1" applyAlignment="1">
      <alignment horizontal="center"/>
    </xf>
    <xf numFmtId="164" fontId="3" fillId="0" borderId="0" xfId="0" applyNumberFormat="1" applyFont="1"/>
    <xf numFmtId="165" fontId="3" fillId="0" borderId="0" xfId="1" applyFont="1" applyAlignment="1">
      <alignment horizontal="center"/>
    </xf>
    <xf numFmtId="165" fontId="3" fillId="0" borderId="1" xfId="1" quotePrefix="1" applyFont="1" applyBorder="1"/>
    <xf numFmtId="165" fontId="3" fillId="0" borderId="8" xfId="1" applyFont="1" applyBorder="1"/>
    <xf numFmtId="165" fontId="4" fillId="0" borderId="1" xfId="1" applyFont="1" applyFill="1" applyBorder="1"/>
    <xf numFmtId="165" fontId="4" fillId="0" borderId="8" xfId="1" applyFont="1" applyBorder="1"/>
    <xf numFmtId="165" fontId="4" fillId="0" borderId="0" xfId="1" applyFont="1" applyBorder="1" applyAlignment="1">
      <alignment horizontal="center"/>
    </xf>
    <xf numFmtId="0" fontId="4" fillId="0" borderId="0" xfId="0" applyFont="1" applyBorder="1"/>
    <xf numFmtId="165" fontId="4" fillId="0" borderId="0" xfId="1" quotePrefix="1" applyFont="1" applyBorder="1" applyAlignment="1">
      <alignment horizontal="center"/>
    </xf>
    <xf numFmtId="165" fontId="3" fillId="0" borderId="1" xfId="1" applyFont="1" applyFill="1" applyBorder="1"/>
    <xf numFmtId="165" fontId="3" fillId="0" borderId="1" xfId="1" applyNumberFormat="1" applyFont="1" applyBorder="1"/>
    <xf numFmtId="0" fontId="4" fillId="0" borderId="0" xfId="0" applyFont="1" applyBorder="1" applyAlignment="1">
      <alignment horizontal="center"/>
    </xf>
    <xf numFmtId="168" fontId="4" fillId="0" borderId="0" xfId="0" applyNumberFormat="1" applyFont="1" applyBorder="1" applyAlignment="1">
      <alignment horizontal="center"/>
    </xf>
    <xf numFmtId="165" fontId="4" fillId="0" borderId="0" xfId="1" applyFont="1" applyBorder="1"/>
    <xf numFmtId="0" fontId="4" fillId="0" borderId="0" xfId="0" quotePrefix="1" applyFont="1"/>
    <xf numFmtId="166" fontId="4" fillId="0" borderId="0" xfId="0" applyNumberFormat="1" applyFont="1" applyBorder="1" applyAlignment="1">
      <alignment horizontal="center"/>
    </xf>
    <xf numFmtId="165" fontId="4" fillId="0" borderId="0" xfId="1" applyFont="1" applyFill="1" applyBorder="1" applyAlignment="1">
      <alignment horizontal="center"/>
    </xf>
    <xf numFmtId="165" fontId="4" fillId="0" borderId="0" xfId="1" applyFont="1"/>
    <xf numFmtId="168" fontId="3" fillId="0" borderId="1" xfId="0" applyNumberFormat="1" applyFont="1" applyFill="1" applyBorder="1" applyAlignment="1">
      <alignment horizontal="center"/>
    </xf>
    <xf numFmtId="0" fontId="3" fillId="0" borderId="10" xfId="0" applyFont="1" applyBorder="1"/>
    <xf numFmtId="165" fontId="3" fillId="0" borderId="8" xfId="1" applyFont="1" applyFill="1" applyBorder="1"/>
    <xf numFmtId="165" fontId="3" fillId="0" borderId="0" xfId="1" applyFont="1" applyFill="1" applyBorder="1" applyAlignment="1">
      <alignment horizontal="center"/>
    </xf>
    <xf numFmtId="165" fontId="4" fillId="0" borderId="8" xfId="1" applyFont="1" applyFill="1" applyBorder="1"/>
    <xf numFmtId="165" fontId="4" fillId="0" borderId="0" xfId="1" quotePrefix="1" applyFont="1" applyFill="1" applyBorder="1" applyAlignment="1">
      <alignment horizontal="center"/>
    </xf>
    <xf numFmtId="0" fontId="4" fillId="0" borderId="0" xfId="0" quotePrefix="1" applyFont="1" applyBorder="1"/>
    <xf numFmtId="0" fontId="3" fillId="0" borderId="1" xfId="0" quotePrefix="1" applyFont="1" applyBorder="1"/>
    <xf numFmtId="0" fontId="3" fillId="0" borderId="1" xfId="0" applyFont="1" applyFill="1" applyBorder="1" applyAlignment="1">
      <alignment horizontal="center"/>
    </xf>
    <xf numFmtId="0" fontId="3" fillId="0" borderId="0" xfId="0" quotePrefix="1" applyFont="1" applyAlignment="1">
      <alignment horizontal="center"/>
    </xf>
    <xf numFmtId="165" fontId="4" fillId="0" borderId="1" xfId="1" applyFont="1" applyBorder="1" applyAlignment="1">
      <alignment horizontal="center"/>
    </xf>
    <xf numFmtId="165" fontId="3" fillId="0" borderId="1" xfId="1" quotePrefix="1" applyFont="1" applyBorder="1" applyAlignment="1">
      <alignment horizontal="center"/>
    </xf>
    <xf numFmtId="10" fontId="3" fillId="0" borderId="0" xfId="0" applyNumberFormat="1" applyFont="1"/>
    <xf numFmtId="9" fontId="3" fillId="0" borderId="0" xfId="0" applyNumberFormat="1" applyFont="1"/>
    <xf numFmtId="165" fontId="5" fillId="0" borderId="0" xfId="0" quotePrefix="1" applyNumberFormat="1" applyFont="1"/>
    <xf numFmtId="0" fontId="3" fillId="0" borderId="1" xfId="0" applyFont="1" applyFill="1" applyBorder="1"/>
    <xf numFmtId="165" fontId="3" fillId="0" borderId="1" xfId="1" quotePrefix="1" applyFont="1" applyFill="1" applyBorder="1"/>
    <xf numFmtId="0" fontId="4" fillId="0" borderId="0" xfId="0" applyFont="1" applyFill="1" applyBorder="1"/>
    <xf numFmtId="165" fontId="3" fillId="0" borderId="0" xfId="0" applyNumberFormat="1" applyFont="1"/>
    <xf numFmtId="165" fontId="3" fillId="0" borderId="0" xfId="1" applyFont="1" applyFill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168" fontId="4" fillId="3" borderId="1" xfId="0" applyNumberFormat="1" applyFont="1" applyFill="1" applyBorder="1" applyAlignment="1">
      <alignment horizontal="center"/>
    </xf>
    <xf numFmtId="165" fontId="4" fillId="3" borderId="1" xfId="1" applyFont="1" applyFill="1" applyBorder="1"/>
    <xf numFmtId="165" fontId="4" fillId="3" borderId="1" xfId="1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 applyAlignment="1">
      <alignment horizontal="center"/>
    </xf>
    <xf numFmtId="0" fontId="4" fillId="3" borderId="13" xfId="0" applyFont="1" applyFill="1" applyBorder="1"/>
    <xf numFmtId="0" fontId="4" fillId="3" borderId="9" xfId="0" applyFont="1" applyFill="1" applyBorder="1" applyAlignment="1">
      <alignment horizontal="center"/>
    </xf>
    <xf numFmtId="168" fontId="4" fillId="3" borderId="9" xfId="0" applyNumberFormat="1" applyFont="1" applyFill="1" applyBorder="1" applyAlignment="1">
      <alignment horizontal="center"/>
    </xf>
    <xf numFmtId="165" fontId="4" fillId="3" borderId="9" xfId="1" applyFont="1" applyFill="1" applyBorder="1" applyAlignment="1">
      <alignment horizontal="center"/>
    </xf>
    <xf numFmtId="165" fontId="4" fillId="3" borderId="14" xfId="1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168" fontId="4" fillId="4" borderId="1" xfId="0" applyNumberFormat="1" applyFont="1" applyFill="1" applyBorder="1" applyAlignment="1">
      <alignment horizontal="center"/>
    </xf>
    <xf numFmtId="165" fontId="4" fillId="4" borderId="1" xfId="1" applyFont="1" applyFill="1" applyBorder="1"/>
    <xf numFmtId="168" fontId="4" fillId="4" borderId="10" xfId="0" applyNumberFormat="1" applyFont="1" applyFill="1" applyBorder="1" applyAlignment="1">
      <alignment horizontal="center"/>
    </xf>
    <xf numFmtId="168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8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justify" vertical="center" wrapText="1" shrinkToFit="1"/>
    </xf>
    <xf numFmtId="165" fontId="3" fillId="3" borderId="1" xfId="1" applyFont="1" applyFill="1" applyBorder="1"/>
    <xf numFmtId="0" fontId="4" fillId="5" borderId="13" xfId="0" applyFont="1" applyFill="1" applyBorder="1"/>
    <xf numFmtId="0" fontId="4" fillId="5" borderId="9" xfId="0" applyFont="1" applyFill="1" applyBorder="1" applyAlignment="1">
      <alignment horizontal="center"/>
    </xf>
    <xf numFmtId="168" fontId="4" fillId="5" borderId="9" xfId="0" applyNumberFormat="1" applyFont="1" applyFill="1" applyBorder="1" applyAlignment="1">
      <alignment horizontal="center"/>
    </xf>
    <xf numFmtId="165" fontId="4" fillId="5" borderId="9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1" quotePrefix="1" applyFont="1" applyBorder="1" applyAlignment="1">
      <alignment horizontal="center"/>
    </xf>
    <xf numFmtId="165" fontId="4" fillId="0" borderId="0" xfId="1" applyFont="1" applyAlignment="1">
      <alignment horizontal="center"/>
    </xf>
    <xf numFmtId="168" fontId="4" fillId="3" borderId="15" xfId="0" applyNumberFormat="1" applyFont="1" applyFill="1" applyBorder="1" applyAlignment="1">
      <alignment horizontal="center"/>
    </xf>
    <xf numFmtId="167" fontId="4" fillId="3" borderId="15" xfId="0" applyNumberFormat="1" applyFont="1" applyFill="1" applyBorder="1" applyAlignment="1">
      <alignment horizontal="center"/>
    </xf>
    <xf numFmtId="0" fontId="4" fillId="0" borderId="11" xfId="0" applyFont="1" applyBorder="1"/>
    <xf numFmtId="0" fontId="4" fillId="0" borderId="16" xfId="0" applyFont="1" applyBorder="1" applyAlignment="1">
      <alignment horizontal="center"/>
    </xf>
    <xf numFmtId="168" fontId="4" fillId="0" borderId="13" xfId="0" applyNumberFormat="1" applyFont="1" applyBorder="1" applyAlignment="1">
      <alignment horizontal="center"/>
    </xf>
    <xf numFmtId="167" fontId="4" fillId="0" borderId="9" xfId="0" applyNumberFormat="1" applyFont="1" applyBorder="1" applyAlignment="1">
      <alignment horizontal="center"/>
    </xf>
    <xf numFmtId="165" fontId="8" fillId="0" borderId="0" xfId="1" applyFont="1"/>
    <xf numFmtId="0" fontId="6" fillId="0" borderId="17" xfId="0" applyFont="1" applyBorder="1" applyAlignment="1">
      <alignment horizontal="center"/>
    </xf>
    <xf numFmtId="167" fontId="6" fillId="0" borderId="17" xfId="0" applyNumberFormat="1" applyFont="1" applyBorder="1"/>
    <xf numFmtId="167" fontId="6" fillId="6" borderId="17" xfId="0" applyNumberFormat="1" applyFont="1" applyFill="1" applyBorder="1"/>
    <xf numFmtId="167" fontId="6" fillId="0" borderId="17" xfId="0" applyNumberFormat="1" applyFont="1" applyFill="1" applyBorder="1"/>
    <xf numFmtId="167" fontId="6" fillId="6" borderId="0" xfId="0" applyNumberFormat="1" applyFont="1" applyFill="1" applyBorder="1"/>
    <xf numFmtId="167" fontId="6" fillId="0" borderId="18" xfId="0" applyNumberFormat="1" applyFont="1" applyFill="1" applyBorder="1"/>
    <xf numFmtId="167" fontId="6" fillId="0" borderId="0" xfId="0" applyNumberFormat="1" applyFont="1" applyFill="1" applyBorder="1"/>
    <xf numFmtId="0" fontId="6" fillId="0" borderId="0" xfId="0" applyFont="1" applyFill="1"/>
    <xf numFmtId="0" fontId="6" fillId="0" borderId="0" xfId="0" applyFont="1"/>
    <xf numFmtId="0" fontId="6" fillId="7" borderId="17" xfId="0" quotePrefix="1" applyFont="1" applyFill="1" applyBorder="1" applyAlignment="1">
      <alignment horizontal="center"/>
    </xf>
    <xf numFmtId="167" fontId="6" fillId="7" borderId="17" xfId="0" applyNumberFormat="1" applyFont="1" applyFill="1" applyBorder="1"/>
    <xf numFmtId="167" fontId="6" fillId="7" borderId="17" xfId="0" quotePrefix="1" applyNumberFormat="1" applyFont="1" applyFill="1" applyBorder="1"/>
    <xf numFmtId="167" fontId="6" fillId="6" borderId="17" xfId="0" quotePrefix="1" applyNumberFormat="1" applyFont="1" applyFill="1" applyBorder="1"/>
    <xf numFmtId="167" fontId="6" fillId="7" borderId="0" xfId="0" applyNumberFormat="1" applyFont="1" applyFill="1"/>
    <xf numFmtId="0" fontId="6" fillId="7" borderId="17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167" fontId="6" fillId="8" borderId="17" xfId="0" applyNumberFormat="1" applyFont="1" applyFill="1" applyBorder="1"/>
    <xf numFmtId="167" fontId="6" fillId="8" borderId="0" xfId="0" applyNumberFormat="1" applyFont="1" applyFill="1" applyBorder="1"/>
    <xf numFmtId="167" fontId="6" fillId="8" borderId="17" xfId="0" quotePrefix="1" applyNumberFormat="1" applyFont="1" applyFill="1" applyBorder="1"/>
    <xf numFmtId="167" fontId="6" fillId="0" borderId="17" xfId="0" quotePrefix="1" applyNumberFormat="1" applyFont="1" applyFill="1" applyBorder="1"/>
    <xf numFmtId="167" fontId="6" fillId="0" borderId="0" xfId="0" applyNumberFormat="1" applyFont="1" applyFill="1"/>
    <xf numFmtId="0" fontId="6" fillId="0" borderId="0" xfId="0" applyFont="1" applyAlignment="1">
      <alignment horizontal="center"/>
    </xf>
    <xf numFmtId="167" fontId="6" fillId="0" borderId="0" xfId="0" applyNumberFormat="1" applyFont="1"/>
    <xf numFmtId="0" fontId="6" fillId="0" borderId="0" xfId="0" quotePrefix="1" applyFont="1" applyAlignment="1">
      <alignment horizontal="center"/>
    </xf>
    <xf numFmtId="167" fontId="7" fillId="0" borderId="0" xfId="0" applyNumberFormat="1" applyFont="1"/>
    <xf numFmtId="165" fontId="3" fillId="0" borderId="1" xfId="1" quotePrefix="1" applyFont="1" applyFill="1" applyBorder="1" applyAlignment="1">
      <alignment horizontal="center"/>
    </xf>
    <xf numFmtId="49" fontId="6" fillId="0" borderId="0" xfId="0" applyNumberFormat="1" applyFont="1" applyFill="1"/>
    <xf numFmtId="166" fontId="4" fillId="0" borderId="0" xfId="0" applyNumberFormat="1" applyFont="1" applyFill="1" applyBorder="1" applyAlignment="1">
      <alignment horizontal="center"/>
    </xf>
    <xf numFmtId="0" fontId="3" fillId="0" borderId="1" xfId="0" quotePrefix="1" applyFont="1" applyFill="1" applyBorder="1"/>
    <xf numFmtId="165" fontId="4" fillId="9" borderId="0" xfId="1" quotePrefix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8" fontId="4" fillId="0" borderId="1" xfId="0" applyNumberFormat="1" applyFont="1" applyFill="1" applyBorder="1" applyAlignment="1">
      <alignment horizontal="center"/>
    </xf>
    <xf numFmtId="165" fontId="4" fillId="0" borderId="1" xfId="1" quotePrefix="1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10" xfId="0" applyFont="1" applyFill="1" applyBorder="1"/>
    <xf numFmtId="0" fontId="4" fillId="0" borderId="20" xfId="0" quotePrefix="1" applyFont="1" applyFill="1" applyBorder="1"/>
    <xf numFmtId="0" fontId="4" fillId="0" borderId="20" xfId="0" applyFont="1" applyFill="1" applyBorder="1"/>
    <xf numFmtId="0" fontId="4" fillId="0" borderId="20" xfId="0" applyFont="1" applyFill="1" applyBorder="1" applyAlignment="1">
      <alignment horizontal="center"/>
    </xf>
    <xf numFmtId="168" fontId="4" fillId="0" borderId="20" xfId="0" applyNumberFormat="1" applyFont="1" applyFill="1" applyBorder="1" applyAlignment="1">
      <alignment horizontal="center"/>
    </xf>
    <xf numFmtId="165" fontId="4" fillId="0" borderId="20" xfId="1" applyFont="1" applyFill="1" applyBorder="1" applyAlignment="1">
      <alignment horizontal="center"/>
    </xf>
    <xf numFmtId="165" fontId="4" fillId="0" borderId="20" xfId="1" quotePrefix="1" applyFont="1" applyFill="1" applyBorder="1" applyAlignment="1">
      <alignment horizontal="center"/>
    </xf>
    <xf numFmtId="165" fontId="4" fillId="0" borderId="20" xfId="1" applyFont="1" applyFill="1" applyBorder="1"/>
    <xf numFmtId="168" fontId="4" fillId="0" borderId="9" xfId="0" applyNumberFormat="1" applyFont="1" applyFill="1" applyBorder="1" applyAlignment="1">
      <alignment horizontal="center"/>
    </xf>
    <xf numFmtId="165" fontId="3" fillId="9" borderId="0" xfId="1" applyFont="1" applyFill="1" applyBorder="1" applyAlignment="1">
      <alignment horizontal="center"/>
    </xf>
    <xf numFmtId="0" fontId="10" fillId="0" borderId="0" xfId="0" applyFont="1"/>
    <xf numFmtId="0" fontId="3" fillId="0" borderId="0" xfId="0" applyFont="1" applyFill="1" applyAlignment="1">
      <alignment horizontal="center"/>
    </xf>
    <xf numFmtId="165" fontId="3" fillId="0" borderId="0" xfId="1" quotePrefix="1" applyFont="1" applyFill="1" applyBorder="1" applyAlignment="1">
      <alignment horizontal="center"/>
    </xf>
    <xf numFmtId="0" fontId="1" fillId="0" borderId="0" xfId="0" applyFont="1"/>
    <xf numFmtId="0" fontId="11" fillId="0" borderId="0" xfId="0" applyFont="1" applyAlignment="1"/>
    <xf numFmtId="0" fontId="11" fillId="0" borderId="0" xfId="0" applyFont="1"/>
    <xf numFmtId="0" fontId="12" fillId="26" borderId="13" xfId="0" applyFont="1" applyFill="1" applyBorder="1" applyAlignment="1">
      <alignment horizontal="center"/>
    </xf>
    <xf numFmtId="0" fontId="12" fillId="26" borderId="21" xfId="0" applyFont="1" applyFill="1" applyBorder="1" applyAlignment="1">
      <alignment horizontal="center"/>
    </xf>
    <xf numFmtId="0" fontId="12" fillId="26" borderId="9" xfId="0" applyFont="1" applyFill="1" applyBorder="1" applyAlignment="1">
      <alignment horizontal="center" wrapText="1"/>
    </xf>
    <xf numFmtId="2" fontId="12" fillId="26" borderId="14" xfId="0" applyNumberFormat="1" applyFont="1" applyFill="1" applyBorder="1" applyAlignment="1">
      <alignment horizontal="center" wrapText="1"/>
    </xf>
    <xf numFmtId="0" fontId="11" fillId="0" borderId="22" xfId="0" applyFont="1" applyBorder="1"/>
    <xf numFmtId="0" fontId="11" fillId="0" borderId="23" xfId="0" applyFont="1" applyBorder="1"/>
    <xf numFmtId="1" fontId="11" fillId="0" borderId="24" xfId="0" applyNumberFormat="1" applyFont="1" applyBorder="1" applyAlignment="1">
      <alignment horizontal="right"/>
    </xf>
    <xf numFmtId="2" fontId="11" fillId="0" borderId="24" xfId="0" applyNumberFormat="1" applyFont="1" applyBorder="1" applyAlignment="1">
      <alignment horizontal="center"/>
    </xf>
    <xf numFmtId="171" fontId="11" fillId="0" borderId="24" xfId="0" applyNumberFormat="1" applyFont="1" applyBorder="1"/>
    <xf numFmtId="171" fontId="11" fillId="0" borderId="25" xfId="0" applyNumberFormat="1" applyFont="1" applyBorder="1"/>
    <xf numFmtId="171" fontId="1" fillId="0" borderId="0" xfId="0" applyNumberFormat="1" applyFont="1"/>
    <xf numFmtId="16" fontId="11" fillId="0" borderId="23" xfId="0" applyNumberFormat="1" applyFont="1" applyBorder="1"/>
    <xf numFmtId="1" fontId="11" fillId="0" borderId="23" xfId="0" applyNumberFormat="1" applyFont="1" applyBorder="1"/>
    <xf numFmtId="0" fontId="11" fillId="0" borderId="22" xfId="0" applyFont="1" applyBorder="1" applyAlignment="1">
      <alignment horizontal="left"/>
    </xf>
    <xf numFmtId="1" fontId="11" fillId="0" borderId="23" xfId="0" applyNumberFormat="1" applyFont="1" applyBorder="1" applyAlignment="1">
      <alignment horizontal="left"/>
    </xf>
    <xf numFmtId="0" fontId="11" fillId="0" borderId="26" xfId="0" applyFont="1" applyBorder="1"/>
    <xf numFmtId="0" fontId="11" fillId="0" borderId="27" xfId="0" applyNumberFormat="1" applyFont="1" applyBorder="1"/>
    <xf numFmtId="1" fontId="11" fillId="0" borderId="28" xfId="0" applyNumberFormat="1" applyFont="1" applyBorder="1" applyAlignment="1">
      <alignment horizontal="right"/>
    </xf>
    <xf numFmtId="2" fontId="11" fillId="0" borderId="28" xfId="0" applyNumberFormat="1" applyFont="1" applyBorder="1" applyAlignment="1">
      <alignment horizontal="center"/>
    </xf>
    <xf numFmtId="171" fontId="11" fillId="0" borderId="28" xfId="0" applyNumberFormat="1" applyFont="1" applyBorder="1"/>
    <xf numFmtId="171" fontId="11" fillId="0" borderId="29" xfId="0" applyNumberFormat="1" applyFont="1" applyBorder="1"/>
    <xf numFmtId="164" fontId="1" fillId="0" borderId="0" xfId="0" applyNumberFormat="1" applyFont="1"/>
    <xf numFmtId="164" fontId="12" fillId="26" borderId="13" xfId="0" applyNumberFormat="1" applyFont="1" applyFill="1" applyBorder="1" applyAlignment="1">
      <alignment horizontal="center"/>
    </xf>
    <xf numFmtId="164" fontId="12" fillId="26" borderId="21" xfId="0" applyNumberFormat="1" applyFont="1" applyFill="1" applyBorder="1" applyAlignment="1">
      <alignment horizontal="center"/>
    </xf>
    <xf numFmtId="164" fontId="12" fillId="26" borderId="9" xfId="0" applyNumberFormat="1" applyFont="1" applyFill="1" applyBorder="1" applyAlignment="1">
      <alignment horizontal="center" wrapText="1"/>
    </xf>
    <xf numFmtId="164" fontId="12" fillId="26" borderId="14" xfId="0" applyNumberFormat="1" applyFont="1" applyFill="1" applyBorder="1" applyAlignment="1">
      <alignment horizontal="center" wrapText="1"/>
    </xf>
    <xf numFmtId="164" fontId="11" fillId="0" borderId="22" xfId="0" applyNumberFormat="1" applyFont="1" applyBorder="1"/>
    <xf numFmtId="164" fontId="11" fillId="0" borderId="23" xfId="0" applyNumberFormat="1" applyFont="1" applyBorder="1"/>
    <xf numFmtId="164" fontId="11" fillId="0" borderId="24" xfId="0" applyNumberFormat="1" applyFont="1" applyBorder="1" applyAlignment="1">
      <alignment horizontal="right"/>
    </xf>
    <xf numFmtId="164" fontId="11" fillId="0" borderId="24" xfId="0" applyNumberFormat="1" applyFont="1" applyBorder="1" applyAlignment="1">
      <alignment horizontal="center"/>
    </xf>
    <xf numFmtId="164" fontId="11" fillId="0" borderId="24" xfId="0" applyNumberFormat="1" applyFont="1" applyBorder="1"/>
    <xf numFmtId="164" fontId="11" fillId="0" borderId="25" xfId="0" applyNumberFormat="1" applyFont="1" applyBorder="1"/>
    <xf numFmtId="164" fontId="11" fillId="0" borderId="22" xfId="0" applyNumberFormat="1" applyFont="1" applyBorder="1" applyAlignment="1">
      <alignment horizontal="left"/>
    </xf>
    <xf numFmtId="164" fontId="11" fillId="0" borderId="23" xfId="0" applyNumberFormat="1" applyFont="1" applyBorder="1" applyAlignment="1">
      <alignment horizontal="left"/>
    </xf>
    <xf numFmtId="164" fontId="11" fillId="0" borderId="26" xfId="0" applyNumberFormat="1" applyFont="1" applyBorder="1"/>
    <xf numFmtId="164" fontId="11" fillId="0" borderId="27" xfId="0" applyNumberFormat="1" applyFont="1" applyBorder="1"/>
    <xf numFmtId="164" fontId="11" fillId="0" borderId="28" xfId="0" applyNumberFormat="1" applyFont="1" applyBorder="1" applyAlignment="1">
      <alignment horizontal="right"/>
    </xf>
    <xf numFmtId="164" fontId="11" fillId="0" borderId="28" xfId="0" applyNumberFormat="1" applyFont="1" applyBorder="1" applyAlignment="1">
      <alignment horizontal="center"/>
    </xf>
    <xf numFmtId="164" fontId="11" fillId="0" borderId="28" xfId="0" applyNumberFormat="1" applyFont="1" applyBorder="1"/>
    <xf numFmtId="164" fontId="11" fillId="0" borderId="29" xfId="0" applyNumberFormat="1" applyFont="1" applyBorder="1"/>
    <xf numFmtId="164" fontId="11" fillId="0" borderId="0" xfId="0" applyNumberFormat="1" applyFont="1" applyBorder="1"/>
    <xf numFmtId="164" fontId="11" fillId="0" borderId="0" xfId="0" applyNumberFormat="1" applyFont="1" applyBorder="1" applyAlignment="1">
      <alignment horizontal="right"/>
    </xf>
    <xf numFmtId="164" fontId="11" fillId="0" borderId="0" xfId="0" applyNumberFormat="1" applyFont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49" fontId="13" fillId="0" borderId="1" xfId="0" applyNumberFormat="1" applyFont="1" applyBorder="1"/>
    <xf numFmtId="3" fontId="13" fillId="0" borderId="1" xfId="0" applyNumberFormat="1" applyFont="1" applyBorder="1" applyAlignment="1">
      <alignment horizontal="center"/>
    </xf>
    <xf numFmtId="170" fontId="13" fillId="0" borderId="1" xfId="1" applyNumberFormat="1" applyFont="1" applyBorder="1" applyAlignment="1">
      <alignment horizontal="center"/>
    </xf>
    <xf numFmtId="4" fontId="13" fillId="0" borderId="1" xfId="1" applyNumberFormat="1" applyFont="1" applyBorder="1" applyAlignment="1">
      <alignment horizontal="center"/>
    </xf>
    <xf numFmtId="4" fontId="13" fillId="11" borderId="1" xfId="0" applyNumberFormat="1" applyFont="1" applyFill="1" applyBorder="1"/>
    <xf numFmtId="4" fontId="13" fillId="12" borderId="1" xfId="0" applyNumberFormat="1" applyFont="1" applyFill="1" applyBorder="1"/>
    <xf numFmtId="4" fontId="13" fillId="13" borderId="1" xfId="0" applyNumberFormat="1" applyFont="1" applyFill="1" applyBorder="1"/>
    <xf numFmtId="4" fontId="13" fillId="0" borderId="1" xfId="0" applyNumberFormat="1" applyFont="1" applyBorder="1"/>
    <xf numFmtId="4" fontId="13" fillId="0" borderId="0" xfId="0" applyNumberFormat="1" applyFont="1"/>
    <xf numFmtId="49" fontId="13" fillId="0" borderId="0" xfId="0" applyNumberFormat="1" applyFont="1"/>
    <xf numFmtId="49" fontId="14" fillId="17" borderId="0" xfId="0" applyNumberFormat="1" applyFont="1" applyFill="1"/>
    <xf numFmtId="4" fontId="14" fillId="17" borderId="0" xfId="1" applyNumberFormat="1" applyFont="1" applyFill="1" applyBorder="1"/>
    <xf numFmtId="164" fontId="14" fillId="17" borderId="0" xfId="1" applyNumberFormat="1" applyFont="1" applyFill="1" applyBorder="1"/>
    <xf numFmtId="49" fontId="14" fillId="0" borderId="0" xfId="0" applyNumberFormat="1" applyFont="1"/>
    <xf numFmtId="3" fontId="14" fillId="0" borderId="0" xfId="0" applyNumberFormat="1" applyFont="1" applyAlignment="1">
      <alignment horizontal="center"/>
    </xf>
    <xf numFmtId="170" fontId="14" fillId="15" borderId="0" xfId="1" applyNumberFormat="1" applyFont="1" applyFill="1" applyAlignment="1">
      <alignment horizontal="center"/>
    </xf>
    <xf numFmtId="4" fontId="14" fillId="11" borderId="0" xfId="0" applyNumberFormat="1" applyFont="1" applyFill="1"/>
    <xf numFmtId="4" fontId="14" fillId="12" borderId="0" xfId="0" applyNumberFormat="1" applyFont="1" applyFill="1"/>
    <xf numFmtId="4" fontId="14" fillId="13" borderId="0" xfId="0" applyNumberFormat="1" applyFont="1" applyFill="1"/>
    <xf numFmtId="4" fontId="14" fillId="0" borderId="0" xfId="0" applyNumberFormat="1" applyFont="1"/>
    <xf numFmtId="49" fontId="14" fillId="14" borderId="1" xfId="0" applyNumberFormat="1" applyFont="1" applyFill="1" applyBorder="1"/>
    <xf numFmtId="164" fontId="14" fillId="14" borderId="1" xfId="1" applyNumberFormat="1" applyFont="1" applyFill="1" applyBorder="1"/>
    <xf numFmtId="49" fontId="14" fillId="0" borderId="1" xfId="0" applyNumberFormat="1" applyFont="1" applyBorder="1"/>
    <xf numFmtId="3" fontId="14" fillId="0" borderId="1" xfId="0" applyNumberFormat="1" applyFont="1" applyBorder="1" applyAlignment="1">
      <alignment horizontal="center"/>
    </xf>
    <xf numFmtId="170" fontId="14" fillId="15" borderId="1" xfId="1" applyNumberFormat="1" applyFont="1" applyFill="1" applyBorder="1" applyAlignment="1">
      <alignment horizontal="center"/>
    </xf>
    <xf numFmtId="4" fontId="14" fillId="9" borderId="1" xfId="1" applyNumberFormat="1" applyFont="1" applyFill="1" applyBorder="1" applyAlignment="1">
      <alignment horizontal="center"/>
    </xf>
    <xf numFmtId="4" fontId="14" fillId="11" borderId="1" xfId="0" applyNumberFormat="1" applyFont="1" applyFill="1" applyBorder="1"/>
    <xf numFmtId="4" fontId="14" fillId="12" borderId="1" xfId="0" applyNumberFormat="1" applyFont="1" applyFill="1" applyBorder="1"/>
    <xf numFmtId="4" fontId="14" fillId="13" borderId="1" xfId="0" applyNumberFormat="1" applyFont="1" applyFill="1" applyBorder="1"/>
    <xf numFmtId="4" fontId="14" fillId="0" borderId="1" xfId="0" applyNumberFormat="1" applyFont="1" applyBorder="1"/>
    <xf numFmtId="49" fontId="14" fillId="5" borderId="1" xfId="0" applyNumberFormat="1" applyFont="1" applyFill="1" applyBorder="1"/>
    <xf numFmtId="164" fontId="14" fillId="5" borderId="1" xfId="1" applyNumberFormat="1" applyFont="1" applyFill="1" applyBorder="1"/>
    <xf numFmtId="49" fontId="13" fillId="4" borderId="1" xfId="0" applyNumberFormat="1" applyFont="1" applyFill="1" applyBorder="1"/>
    <xf numFmtId="49" fontId="14" fillId="4" borderId="1" xfId="0" applyNumberFormat="1" applyFont="1" applyFill="1" applyBorder="1"/>
    <xf numFmtId="164" fontId="14" fillId="4" borderId="1" xfId="1" applyNumberFormat="1" applyFont="1" applyFill="1" applyBorder="1"/>
    <xf numFmtId="4" fontId="14" fillId="0" borderId="0" xfId="0" applyNumberFormat="1" applyFont="1" applyFill="1"/>
    <xf numFmtId="49" fontId="14" fillId="0" borderId="0" xfId="0" applyNumberFormat="1" applyFont="1" applyFill="1"/>
    <xf numFmtId="49" fontId="14" fillId="11" borderId="1" xfId="0" applyNumberFormat="1" applyFont="1" applyFill="1" applyBorder="1"/>
    <xf numFmtId="164" fontId="14" fillId="11" borderId="1" xfId="1" applyNumberFormat="1" applyFont="1" applyFill="1" applyBorder="1"/>
    <xf numFmtId="49" fontId="14" fillId="16" borderId="1" xfId="0" applyNumberFormat="1" applyFont="1" applyFill="1" applyBorder="1"/>
    <xf numFmtId="164" fontId="14" fillId="16" borderId="1" xfId="1" applyNumberFormat="1" applyFont="1" applyFill="1" applyBorder="1"/>
    <xf numFmtId="49" fontId="14" fillId="10" borderId="1" xfId="0" applyNumberFormat="1" applyFont="1" applyFill="1" applyBorder="1"/>
    <xf numFmtId="164" fontId="14" fillId="10" borderId="1" xfId="1" applyNumberFormat="1" applyFont="1" applyFill="1" applyBorder="1"/>
    <xf numFmtId="49" fontId="14" fillId="18" borderId="1" xfId="0" applyNumberFormat="1" applyFont="1" applyFill="1" applyBorder="1"/>
    <xf numFmtId="164" fontId="14" fillId="18" borderId="1" xfId="1" applyNumberFormat="1" applyFont="1" applyFill="1" applyBorder="1"/>
    <xf numFmtId="49" fontId="14" fillId="9" borderId="1" xfId="0" applyNumberFormat="1" applyFont="1" applyFill="1" applyBorder="1"/>
    <xf numFmtId="164" fontId="14" fillId="9" borderId="1" xfId="1" applyNumberFormat="1" applyFont="1" applyFill="1" applyBorder="1"/>
    <xf numFmtId="49" fontId="14" fillId="19" borderId="1" xfId="0" applyNumberFormat="1" applyFont="1" applyFill="1" applyBorder="1"/>
    <xf numFmtId="164" fontId="14" fillId="19" borderId="1" xfId="1" applyNumberFormat="1" applyFont="1" applyFill="1" applyBorder="1"/>
    <xf numFmtId="49" fontId="14" fillId="23" borderId="1" xfId="0" applyNumberFormat="1" applyFont="1" applyFill="1" applyBorder="1"/>
    <xf numFmtId="164" fontId="14" fillId="23" borderId="1" xfId="1" applyNumberFormat="1" applyFont="1" applyFill="1" applyBorder="1"/>
    <xf numFmtId="49" fontId="14" fillId="21" borderId="1" xfId="0" applyNumberFormat="1" applyFont="1" applyFill="1" applyBorder="1"/>
    <xf numFmtId="164" fontId="14" fillId="21" borderId="1" xfId="1" applyNumberFormat="1" applyFont="1" applyFill="1" applyBorder="1"/>
    <xf numFmtId="49" fontId="14" fillId="24" borderId="1" xfId="0" applyNumberFormat="1" applyFont="1" applyFill="1" applyBorder="1"/>
    <xf numFmtId="164" fontId="14" fillId="24" borderId="1" xfId="1" applyNumberFormat="1" applyFont="1" applyFill="1" applyBorder="1"/>
    <xf numFmtId="49" fontId="14" fillId="7" borderId="1" xfId="0" applyNumberFormat="1" applyFont="1" applyFill="1" applyBorder="1"/>
    <xf numFmtId="164" fontId="14" fillId="7" borderId="1" xfId="1" applyNumberFormat="1" applyFont="1" applyFill="1" applyBorder="1"/>
    <xf numFmtId="49" fontId="14" fillId="22" borderId="1" xfId="0" applyNumberFormat="1" applyFont="1" applyFill="1" applyBorder="1"/>
    <xf numFmtId="164" fontId="14" fillId="22" borderId="1" xfId="1" applyNumberFormat="1" applyFont="1" applyFill="1" applyBorder="1"/>
    <xf numFmtId="49" fontId="14" fillId="8" borderId="1" xfId="0" applyNumberFormat="1" applyFont="1" applyFill="1" applyBorder="1"/>
    <xf numFmtId="164" fontId="14" fillId="8" borderId="1" xfId="1" applyNumberFormat="1" applyFont="1" applyFill="1" applyBorder="1"/>
    <xf numFmtId="49" fontId="14" fillId="13" borderId="1" xfId="0" applyNumberFormat="1" applyFont="1" applyFill="1" applyBorder="1"/>
    <xf numFmtId="164" fontId="14" fillId="13" borderId="1" xfId="1" applyNumberFormat="1" applyFont="1" applyFill="1" applyBorder="1"/>
    <xf numFmtId="49" fontId="14" fillId="6" borderId="1" xfId="0" applyNumberFormat="1" applyFont="1" applyFill="1" applyBorder="1"/>
    <xf numFmtId="164" fontId="14" fillId="6" borderId="1" xfId="1" applyNumberFormat="1" applyFont="1" applyFill="1" applyBorder="1"/>
    <xf numFmtId="164" fontId="14" fillId="0" borderId="0" xfId="1" applyNumberFormat="1" applyFont="1" applyFill="1"/>
    <xf numFmtId="3" fontId="14" fillId="0" borderId="0" xfId="0" applyNumberFormat="1" applyFont="1" applyFill="1" applyAlignment="1">
      <alignment horizontal="center"/>
    </xf>
    <xf numFmtId="170" fontId="14" fillId="0" borderId="0" xfId="1" applyNumberFormat="1" applyFont="1" applyFill="1" applyAlignment="1">
      <alignment horizontal="center"/>
    </xf>
    <xf numFmtId="4" fontId="14" fillId="0" borderId="0" xfId="1" applyNumberFormat="1" applyFont="1" applyFill="1" applyAlignment="1">
      <alignment horizontal="center"/>
    </xf>
    <xf numFmtId="4" fontId="14" fillId="0" borderId="1" xfId="0" applyNumberFormat="1" applyFont="1" applyFill="1" applyBorder="1"/>
    <xf numFmtId="164" fontId="14" fillId="0" borderId="0" xfId="1" applyNumberFormat="1" applyFont="1"/>
    <xf numFmtId="170" fontId="14" fillId="0" borderId="0" xfId="1" applyNumberFormat="1" applyFont="1" applyAlignment="1">
      <alignment horizontal="center"/>
    </xf>
    <xf numFmtId="4" fontId="14" fillId="0" borderId="0" xfId="1" applyNumberFormat="1" applyFont="1" applyAlignment="1">
      <alignment horizontal="center"/>
    </xf>
    <xf numFmtId="49" fontId="14" fillId="20" borderId="10" xfId="0" applyNumberFormat="1" applyFont="1" applyFill="1" applyBorder="1"/>
    <xf numFmtId="164" fontId="14" fillId="20" borderId="10" xfId="1" applyNumberFormat="1" applyFont="1" applyFill="1" applyBorder="1"/>
    <xf numFmtId="49" fontId="14" fillId="0" borderId="10" xfId="0" applyNumberFormat="1" applyFont="1" applyBorder="1"/>
    <xf numFmtId="49" fontId="14" fillId="0" borderId="19" xfId="0" applyNumberFormat="1" applyFont="1" applyFill="1" applyBorder="1"/>
    <xf numFmtId="164" fontId="14" fillId="0" borderId="19" xfId="1" applyNumberFormat="1" applyFont="1" applyFill="1" applyBorder="1"/>
    <xf numFmtId="49" fontId="14" fillId="0" borderId="0" xfId="0" applyNumberFormat="1" applyFont="1" applyBorder="1"/>
    <xf numFmtId="4" fontId="14" fillId="25" borderId="0" xfId="1" applyNumberFormat="1" applyFont="1" applyFill="1" applyAlignment="1">
      <alignment horizontal="center"/>
    </xf>
    <xf numFmtId="165" fontId="15" fillId="0" borderId="0" xfId="1" applyFont="1" applyBorder="1" applyAlignment="1">
      <alignment horizontal="center"/>
    </xf>
    <xf numFmtId="165" fontId="3" fillId="3" borderId="9" xfId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7" xfId="0" applyFont="1" applyFill="1" applyBorder="1"/>
    <xf numFmtId="0" fontId="3" fillId="0" borderId="11" xfId="0" applyFont="1" applyBorder="1"/>
    <xf numFmtId="49" fontId="17" fillId="0" borderId="19" xfId="0" applyNumberFormat="1" applyFont="1" applyFill="1" applyBorder="1"/>
    <xf numFmtId="0" fontId="3" fillId="17" borderId="17" xfId="0" applyFont="1" applyFill="1" applyBorder="1"/>
    <xf numFmtId="4" fontId="17" fillId="0" borderId="1" xfId="0" applyNumberFormat="1" applyFont="1" applyBorder="1"/>
    <xf numFmtId="4" fontId="17" fillId="0" borderId="1" xfId="0" applyNumberFormat="1" applyFont="1" applyFill="1" applyBorder="1"/>
    <xf numFmtId="4" fontId="17" fillId="27" borderId="1" xfId="0" applyNumberFormat="1" applyFont="1" applyFill="1" applyBorder="1"/>
    <xf numFmtId="4" fontId="3" fillId="0" borderId="1" xfId="0" applyNumberFormat="1" applyFont="1" applyBorder="1"/>
    <xf numFmtId="4" fontId="18" fillId="0" borderId="0" xfId="0" applyNumberFormat="1" applyFont="1" applyBorder="1"/>
    <xf numFmtId="4" fontId="3" fillId="27" borderId="1" xfId="0" applyNumberFormat="1" applyFont="1" applyFill="1" applyBorder="1"/>
    <xf numFmtId="4" fontId="17" fillId="0" borderId="0" xfId="0" applyNumberFormat="1" applyFont="1" applyFill="1" applyBorder="1"/>
    <xf numFmtId="4" fontId="17" fillId="0" borderId="0" xfId="0" applyNumberFormat="1" applyFont="1" applyBorder="1"/>
    <xf numFmtId="0" fontId="19" fillId="0" borderId="30" xfId="0" applyFont="1" applyFill="1" applyBorder="1" applyAlignment="1">
      <alignment horizontal="left"/>
    </xf>
    <xf numFmtId="49" fontId="18" fillId="0" borderId="1" xfId="0" applyNumberFormat="1" applyFont="1" applyBorder="1"/>
    <xf numFmtId="0" fontId="3" fillId="0" borderId="17" xfId="0" applyFont="1" applyBorder="1"/>
    <xf numFmtId="49" fontId="17" fillId="23" borderId="1" xfId="0" applyNumberFormat="1" applyFont="1" applyFill="1" applyBorder="1"/>
    <xf numFmtId="49" fontId="17" fillId="21" borderId="1" xfId="0" applyNumberFormat="1" applyFont="1" applyFill="1" applyBorder="1"/>
    <xf numFmtId="49" fontId="17" fillId="7" borderId="1" xfId="0" applyNumberFormat="1" applyFont="1" applyFill="1" applyBorder="1"/>
    <xf numFmtId="49" fontId="17" fillId="13" borderId="1" xfId="0" applyNumberFormat="1" applyFont="1" applyFill="1" applyBorder="1"/>
    <xf numFmtId="49" fontId="17" fillId="6" borderId="1" xfId="0" applyNumberFormat="1" applyFont="1" applyFill="1" applyBorder="1"/>
    <xf numFmtId="49" fontId="17" fillId="20" borderId="10" xfId="0" applyNumberFormat="1" applyFont="1" applyFill="1" applyBorder="1"/>
    <xf numFmtId="49" fontId="17" fillId="0" borderId="0" xfId="0" applyNumberFormat="1" applyFont="1" applyFill="1"/>
    <xf numFmtId="49" fontId="17" fillId="0" borderId="0" xfId="0" applyNumberFormat="1" applyFont="1"/>
    <xf numFmtId="49" fontId="18" fillId="0" borderId="1" xfId="0" applyNumberFormat="1" applyFont="1" applyFill="1" applyBorder="1"/>
    <xf numFmtId="49" fontId="18" fillId="25" borderId="0" xfId="0" applyNumberFormat="1" applyFont="1" applyFill="1"/>
    <xf numFmtId="49" fontId="18" fillId="25" borderId="1" xfId="0" applyNumberFormat="1" applyFont="1" applyFill="1" applyBorder="1"/>
    <xf numFmtId="49" fontId="20" fillId="0" borderId="1" xfId="0" applyNumberFormat="1" applyFont="1" applyFill="1" applyBorder="1"/>
    <xf numFmtId="49" fontId="20" fillId="25" borderId="1" xfId="0" applyNumberFormat="1" applyFont="1" applyFill="1" applyBorder="1"/>
    <xf numFmtId="49" fontId="21" fillId="25" borderId="1" xfId="0" applyNumberFormat="1" applyFont="1" applyFill="1" applyBorder="1"/>
    <xf numFmtId="49" fontId="20" fillId="19" borderId="1" xfId="0" applyNumberFormat="1" applyFont="1" applyFill="1" applyBorder="1"/>
    <xf numFmtId="49" fontId="20" fillId="7" borderId="1" xfId="0" applyNumberFormat="1" applyFont="1" applyFill="1" applyBorder="1"/>
    <xf numFmtId="49" fontId="18" fillId="0" borderId="10" xfId="0" applyNumberFormat="1" applyFont="1" applyFill="1" applyBorder="1"/>
    <xf numFmtId="49" fontId="20" fillId="0" borderId="19" xfId="0" applyNumberFormat="1" applyFont="1" applyFill="1" applyBorder="1"/>
    <xf numFmtId="49" fontId="20" fillId="25" borderId="19" xfId="0" applyNumberFormat="1" applyFont="1" applyFill="1" applyBorder="1"/>
    <xf numFmtId="49" fontId="20" fillId="0" borderId="0" xfId="0" applyNumberFormat="1" applyFont="1" applyFill="1"/>
    <xf numFmtId="0" fontId="22" fillId="0" borderId="1" xfId="0" applyFont="1" applyBorder="1"/>
    <xf numFmtId="49" fontId="22" fillId="0" borderId="1" xfId="0" applyNumberFormat="1" applyFont="1" applyFill="1" applyBorder="1"/>
    <xf numFmtId="0" fontId="22" fillId="0" borderId="1" xfId="0" applyFont="1" applyFill="1" applyBorder="1"/>
    <xf numFmtId="0" fontId="16" fillId="0" borderId="1" xfId="0" applyFont="1" applyFill="1" applyBorder="1"/>
    <xf numFmtId="49" fontId="16" fillId="0" borderId="1" xfId="0" applyNumberFormat="1" applyFont="1" applyFill="1" applyBorder="1"/>
    <xf numFmtId="0" fontId="3" fillId="24" borderId="1" xfId="0" applyFont="1" applyFill="1" applyBorder="1" applyAlignment="1">
      <alignment horizontal="left"/>
    </xf>
    <xf numFmtId="168" fontId="3" fillId="24" borderId="1" xfId="0" applyNumberFormat="1" applyFont="1" applyFill="1" applyBorder="1" applyAlignment="1">
      <alignment horizontal="left"/>
    </xf>
    <xf numFmtId="0" fontId="3" fillId="24" borderId="1" xfId="0" applyFont="1" applyFill="1" applyBorder="1" applyAlignment="1">
      <alignment horizontal="left" vertical="center" wrapText="1" shrinkToFit="1"/>
    </xf>
    <xf numFmtId="0" fontId="3" fillId="24" borderId="1" xfId="0" applyFont="1" applyFill="1" applyBorder="1" applyAlignment="1">
      <alignment horizontal="left" vertical="center"/>
    </xf>
    <xf numFmtId="165" fontId="3" fillId="24" borderId="1" xfId="1" applyFont="1" applyFill="1" applyBorder="1" applyAlignment="1">
      <alignment horizontal="left"/>
    </xf>
    <xf numFmtId="0" fontId="2" fillId="24" borderId="11" xfId="0" applyFont="1" applyFill="1" applyBorder="1"/>
    <xf numFmtId="0" fontId="2" fillId="24" borderId="12" xfId="0" applyFont="1" applyFill="1" applyBorder="1" applyAlignment="1">
      <alignment horizontal="center"/>
    </xf>
    <xf numFmtId="0" fontId="4" fillId="24" borderId="1" xfId="0" applyFont="1" applyFill="1" applyBorder="1"/>
    <xf numFmtId="0" fontId="4" fillId="24" borderId="1" xfId="0" applyFont="1" applyFill="1" applyBorder="1" applyAlignment="1">
      <alignment horizontal="center"/>
    </xf>
    <xf numFmtId="168" fontId="4" fillId="24" borderId="1" xfId="0" applyNumberFormat="1" applyFont="1" applyFill="1" applyBorder="1" applyAlignment="1">
      <alignment horizontal="center"/>
    </xf>
    <xf numFmtId="0" fontId="4" fillId="24" borderId="1" xfId="0" applyFont="1" applyFill="1" applyBorder="1" applyAlignment="1">
      <alignment wrapText="1"/>
    </xf>
    <xf numFmtId="0" fontId="4" fillId="24" borderId="1" xfId="0" applyFont="1" applyFill="1" applyBorder="1" applyAlignment="1">
      <alignment vertical="center" wrapText="1"/>
    </xf>
    <xf numFmtId="0" fontId="4" fillId="24" borderId="1" xfId="0" applyFont="1" applyFill="1" applyBorder="1" applyAlignment="1">
      <alignment vertical="center"/>
    </xf>
    <xf numFmtId="165" fontId="4" fillId="24" borderId="1" xfId="1" applyFont="1" applyFill="1" applyBorder="1"/>
    <xf numFmtId="165" fontId="4" fillId="24" borderId="1" xfId="1" applyFont="1" applyFill="1" applyBorder="1" applyAlignment="1">
      <alignment horizontal="center"/>
    </xf>
    <xf numFmtId="0" fontId="3" fillId="24" borderId="1" xfId="0" applyFont="1" applyFill="1" applyBorder="1"/>
    <xf numFmtId="0" fontId="3" fillId="24" borderId="1" xfId="0" applyFont="1" applyFill="1" applyBorder="1" applyAlignment="1">
      <alignment horizontal="center"/>
    </xf>
    <xf numFmtId="168" fontId="3" fillId="24" borderId="1" xfId="0" applyNumberFormat="1" applyFont="1" applyFill="1" applyBorder="1" applyAlignment="1">
      <alignment horizontal="center"/>
    </xf>
    <xf numFmtId="0" fontId="3" fillId="24" borderId="1" xfId="0" applyFont="1" applyFill="1" applyBorder="1" applyAlignment="1">
      <alignment wrapText="1"/>
    </xf>
    <xf numFmtId="0" fontId="3" fillId="24" borderId="1" xfId="0" applyFont="1" applyFill="1" applyBorder="1" applyAlignment="1">
      <alignment vertical="center" wrapText="1"/>
    </xf>
    <xf numFmtId="0" fontId="3" fillId="24" borderId="1" xfId="0" applyFont="1" applyFill="1" applyBorder="1" applyAlignment="1">
      <alignment vertical="center"/>
    </xf>
    <xf numFmtId="165" fontId="3" fillId="24" borderId="1" xfId="1" applyFont="1" applyFill="1" applyBorder="1"/>
    <xf numFmtId="165" fontId="3" fillId="24" borderId="1" xfId="1" applyFont="1" applyFill="1" applyBorder="1" applyAlignment="1">
      <alignment horizontal="center"/>
    </xf>
    <xf numFmtId="49" fontId="17" fillId="0" borderId="1" xfId="0" applyNumberFormat="1" applyFont="1" applyFill="1" applyBorder="1"/>
    <xf numFmtId="0" fontId="10" fillId="24" borderId="1" xfId="0" applyFont="1" applyFill="1" applyBorder="1"/>
    <xf numFmtId="0" fontId="10" fillId="24" borderId="1" xfId="0" applyFont="1" applyFill="1" applyBorder="1" applyAlignment="1">
      <alignment horizontal="center"/>
    </xf>
    <xf numFmtId="168" fontId="10" fillId="24" borderId="1" xfId="0" applyNumberFormat="1" applyFont="1" applyFill="1" applyBorder="1" applyAlignment="1">
      <alignment horizontal="center"/>
    </xf>
    <xf numFmtId="0" fontId="10" fillId="24" borderId="1" xfId="0" applyFont="1" applyFill="1" applyBorder="1" applyAlignment="1">
      <alignment wrapText="1"/>
    </xf>
    <xf numFmtId="0" fontId="10" fillId="24" borderId="1" xfId="0" applyFont="1" applyFill="1" applyBorder="1" applyAlignment="1">
      <alignment vertical="center" wrapText="1"/>
    </xf>
    <xf numFmtId="0" fontId="10" fillId="24" borderId="1" xfId="0" applyFont="1" applyFill="1" applyBorder="1" applyAlignment="1">
      <alignment vertical="center"/>
    </xf>
    <xf numFmtId="165" fontId="10" fillId="24" borderId="1" xfId="1" applyFont="1" applyFill="1" applyBorder="1"/>
    <xf numFmtId="165" fontId="10" fillId="24" borderId="10" xfId="1" applyFont="1" applyFill="1" applyBorder="1" applyAlignment="1">
      <alignment horizontal="center"/>
    </xf>
    <xf numFmtId="0" fontId="23" fillId="0" borderId="0" xfId="0" applyFont="1" applyBorder="1"/>
    <xf numFmtId="165" fontId="4" fillId="0" borderId="9" xfId="1" applyFont="1" applyBorder="1" applyAlignment="1">
      <alignment horizontal="center"/>
    </xf>
    <xf numFmtId="165" fontId="4" fillId="3" borderId="15" xfId="1" applyFont="1" applyFill="1" applyBorder="1" applyAlignment="1">
      <alignment horizontal="center"/>
    </xf>
    <xf numFmtId="49" fontId="3" fillId="0" borderId="1" xfId="0" applyNumberFormat="1" applyFont="1" applyFill="1" applyBorder="1"/>
    <xf numFmtId="0" fontId="22" fillId="0" borderId="1" xfId="0" quotePrefix="1" applyFont="1" applyFill="1" applyBorder="1"/>
    <xf numFmtId="165" fontId="4" fillId="3" borderId="0" xfId="1" quotePrefix="1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21" fillId="15" borderId="1" xfId="0" applyFont="1" applyFill="1" applyBorder="1" applyAlignment="1">
      <alignment horizontal="left"/>
    </xf>
    <xf numFmtId="0" fontId="21" fillId="15" borderId="1" xfId="0" applyFont="1" applyFill="1" applyBorder="1"/>
    <xf numFmtId="0" fontId="21" fillId="0" borderId="1" xfId="0" applyFont="1" applyFill="1" applyBorder="1"/>
    <xf numFmtId="4" fontId="20" fillId="0" borderId="0" xfId="0" applyNumberFormat="1" applyFont="1" applyFill="1"/>
    <xf numFmtId="4" fontId="20" fillId="0" borderId="0" xfId="0" applyNumberFormat="1" applyFont="1"/>
    <xf numFmtId="0" fontId="25" fillId="0" borderId="0" xfId="2" applyFont="1" applyAlignment="1" applyProtection="1"/>
    <xf numFmtId="0" fontId="4" fillId="29" borderId="31" xfId="0" applyFont="1" applyFill="1" applyBorder="1" applyAlignment="1">
      <alignment horizontal="left"/>
    </xf>
    <xf numFmtId="0" fontId="4" fillId="29" borderId="32" xfId="0" applyFont="1" applyFill="1" applyBorder="1" applyAlignment="1">
      <alignment horizontal="left"/>
    </xf>
    <xf numFmtId="0" fontId="4" fillId="29" borderId="32" xfId="0" applyFont="1" applyFill="1" applyBorder="1" applyAlignment="1">
      <alignment horizontal="center"/>
    </xf>
    <xf numFmtId="0" fontId="4" fillId="29" borderId="33" xfId="0" applyFont="1" applyFill="1" applyBorder="1" applyAlignment="1">
      <alignment horizontal="left"/>
    </xf>
    <xf numFmtId="0" fontId="3" fillId="0" borderId="34" xfId="0" applyFont="1" applyBorder="1"/>
    <xf numFmtId="0" fontId="3" fillId="0" borderId="35" xfId="0" applyFont="1" applyBorder="1"/>
    <xf numFmtId="0" fontId="3" fillId="0" borderId="35" xfId="0" applyFont="1" applyBorder="1" applyAlignment="1">
      <alignment horizontal="center"/>
    </xf>
    <xf numFmtId="0" fontId="26" fillId="15" borderId="35" xfId="0" applyFont="1" applyFill="1" applyBorder="1" applyAlignment="1">
      <alignment horizontal="center"/>
    </xf>
    <xf numFmtId="0" fontId="3" fillId="0" borderId="35" xfId="0" quotePrefix="1" applyFont="1" applyBorder="1"/>
    <xf numFmtId="0" fontId="3" fillId="0" borderId="36" xfId="0" applyFont="1" applyBorder="1"/>
    <xf numFmtId="0" fontId="3" fillId="0" borderId="37" xfId="0" applyFont="1" applyBorder="1"/>
    <xf numFmtId="0" fontId="26" fillId="15" borderId="1" xfId="0" applyFont="1" applyFill="1" applyBorder="1" applyAlignment="1">
      <alignment horizontal="center"/>
    </xf>
    <xf numFmtId="0" fontId="3" fillId="0" borderId="38" xfId="0" applyFont="1" applyBorder="1"/>
    <xf numFmtId="0" fontId="3" fillId="30" borderId="1" xfId="0" applyFont="1" applyFill="1" applyBorder="1" applyAlignment="1">
      <alignment horizontal="center"/>
    </xf>
    <xf numFmtId="0" fontId="3" fillId="31" borderId="1" xfId="0" applyFont="1" applyFill="1" applyBorder="1" applyAlignment="1">
      <alignment horizontal="center"/>
    </xf>
    <xf numFmtId="0" fontId="3" fillId="28" borderId="1" xfId="0" applyFont="1" applyFill="1" applyBorder="1" applyAlignment="1">
      <alignment horizontal="center"/>
    </xf>
    <xf numFmtId="0" fontId="3" fillId="0" borderId="37" xfId="0" applyFont="1" applyFill="1" applyBorder="1"/>
    <xf numFmtId="0" fontId="3" fillId="0" borderId="38" xfId="0" applyFont="1" applyFill="1" applyBorder="1"/>
    <xf numFmtId="0" fontId="3" fillId="0" borderId="1" xfId="0" quotePrefix="1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0" borderId="26" xfId="0" applyFont="1" applyBorder="1"/>
    <xf numFmtId="0" fontId="3" fillId="0" borderId="28" xfId="0" applyFont="1" applyBorder="1"/>
    <xf numFmtId="0" fontId="3" fillId="7" borderId="28" xfId="0" applyFont="1" applyFill="1" applyBorder="1" applyAlignment="1">
      <alignment horizontal="center"/>
    </xf>
    <xf numFmtId="0" fontId="3" fillId="31" borderId="28" xfId="0" applyFont="1" applyFill="1" applyBorder="1" applyAlignment="1">
      <alignment horizontal="center"/>
    </xf>
    <xf numFmtId="0" fontId="3" fillId="0" borderId="28" xfId="0" quotePrefix="1" applyFont="1" applyFill="1" applyBorder="1" applyAlignment="1">
      <alignment horizontal="center"/>
    </xf>
    <xf numFmtId="0" fontId="3" fillId="0" borderId="29" xfId="0" applyFont="1" applyBorder="1"/>
    <xf numFmtId="4" fontId="21" fillId="5" borderId="1" xfId="0" quotePrefix="1" applyNumberFormat="1" applyFont="1" applyFill="1" applyBorder="1"/>
    <xf numFmtId="165" fontId="4" fillId="0" borderId="1" xfId="1" applyFont="1" applyFill="1" applyBorder="1" applyAlignment="1">
      <alignment horizontal="center"/>
    </xf>
    <xf numFmtId="165" fontId="3" fillId="3" borderId="8" xfId="1" applyFont="1" applyFill="1" applyBorder="1"/>
    <xf numFmtId="0" fontId="27" fillId="0" borderId="0" xfId="0" applyFont="1"/>
    <xf numFmtId="0" fontId="28" fillId="0" borderId="0" xfId="0" applyFont="1"/>
    <xf numFmtId="165" fontId="28" fillId="0" borderId="0" xfId="1" applyFont="1"/>
    <xf numFmtId="0" fontId="27" fillId="0" borderId="0" xfId="0" applyFont="1" applyAlignment="1">
      <alignment horizontal="center"/>
    </xf>
    <xf numFmtId="165" fontId="27" fillId="0" borderId="0" xfId="1" applyFont="1"/>
    <xf numFmtId="0" fontId="27" fillId="0" borderId="0" xfId="0" applyFont="1" applyBorder="1" applyAlignment="1">
      <alignment horizontal="center"/>
    </xf>
    <xf numFmtId="165" fontId="27" fillId="0" borderId="0" xfId="1" applyFont="1" applyBorder="1"/>
    <xf numFmtId="168" fontId="3" fillId="3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164" fontId="29" fillId="0" borderId="0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5" fontId="3" fillId="0" borderId="19" xfId="1" applyFont="1" applyBorder="1"/>
    <xf numFmtId="0" fontId="30" fillId="0" borderId="0" xfId="0" applyFont="1"/>
    <xf numFmtId="0" fontId="31" fillId="0" borderId="0" xfId="0" applyFont="1"/>
    <xf numFmtId="0" fontId="31" fillId="0" borderId="0" xfId="0" applyFont="1" applyFill="1" applyBorder="1"/>
    <xf numFmtId="0" fontId="32" fillId="0" borderId="0" xfId="0" applyFont="1"/>
    <xf numFmtId="0" fontId="32" fillId="0" borderId="1" xfId="0" applyFont="1" applyFill="1" applyBorder="1"/>
    <xf numFmtId="0" fontId="32" fillId="0" borderId="0" xfId="0" applyFont="1" applyFill="1" applyBorder="1"/>
    <xf numFmtId="0" fontId="32" fillId="0" borderId="1" xfId="0" applyFont="1" applyBorder="1"/>
    <xf numFmtId="168" fontId="31" fillId="0" borderId="1" xfId="0" applyNumberFormat="1" applyFont="1" applyBorder="1"/>
    <xf numFmtId="0" fontId="32" fillId="2" borderId="1" xfId="0" applyFont="1" applyFill="1" applyBorder="1" applyAlignment="1">
      <alignment horizontal="center"/>
    </xf>
    <xf numFmtId="168" fontId="31" fillId="2" borderId="1" xfId="0" applyNumberFormat="1" applyFont="1" applyFill="1" applyBorder="1" applyAlignment="1">
      <alignment horizontal="center"/>
    </xf>
    <xf numFmtId="168" fontId="31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2" borderId="1" xfId="0" applyFont="1" applyFill="1" applyBorder="1"/>
    <xf numFmtId="165" fontId="31" fillId="2" borderId="1" xfId="1" applyFont="1" applyFill="1" applyBorder="1"/>
    <xf numFmtId="165" fontId="31" fillId="0" borderId="0" xfId="1" applyFont="1" applyFill="1" applyBorder="1"/>
    <xf numFmtId="0" fontId="31" fillId="0" borderId="0" xfId="0" applyFont="1" applyFill="1"/>
    <xf numFmtId="168" fontId="31" fillId="0" borderId="0" xfId="0" applyNumberFormat="1" applyFont="1"/>
    <xf numFmtId="168" fontId="31" fillId="0" borderId="0" xfId="0" applyNumberFormat="1" applyFont="1" applyFill="1" applyBorder="1"/>
    <xf numFmtId="165" fontId="31" fillId="0" borderId="0" xfId="1" applyFont="1"/>
    <xf numFmtId="0" fontId="30" fillId="0" borderId="0" xfId="0" applyFont="1" applyFill="1" applyBorder="1"/>
    <xf numFmtId="168" fontId="31" fillId="0" borderId="0" xfId="0" applyNumberFormat="1" applyFont="1" applyAlignment="1">
      <alignment horizontal="center"/>
    </xf>
    <xf numFmtId="168" fontId="31" fillId="0" borderId="0" xfId="0" applyNumberFormat="1" applyFont="1" applyFill="1" applyAlignment="1">
      <alignment horizontal="center"/>
    </xf>
    <xf numFmtId="169" fontId="31" fillId="0" borderId="0" xfId="1" applyNumberFormat="1" applyFont="1" applyAlignment="1">
      <alignment horizontal="center"/>
    </xf>
    <xf numFmtId="169" fontId="31" fillId="0" borderId="0" xfId="1" applyNumberFormat="1" applyFont="1" applyFill="1" applyBorder="1" applyAlignment="1">
      <alignment horizontal="center"/>
    </xf>
    <xf numFmtId="49" fontId="31" fillId="0" borderId="0" xfId="0" applyNumberFormat="1" applyFont="1" applyAlignment="1">
      <alignment horizontal="center"/>
    </xf>
    <xf numFmtId="49" fontId="31" fillId="0" borderId="0" xfId="0" applyNumberFormat="1" applyFont="1" applyFill="1" applyBorder="1" applyAlignment="1">
      <alignment horizontal="center"/>
    </xf>
    <xf numFmtId="165" fontId="34" fillId="0" borderId="0" xfId="1" applyFont="1"/>
    <xf numFmtId="165" fontId="34" fillId="0" borderId="0" xfId="1" applyFont="1" applyFill="1" applyBorder="1"/>
    <xf numFmtId="0" fontId="36" fillId="0" borderId="0" xfId="0" applyFont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0" xfId="0" applyFont="1"/>
    <xf numFmtId="0" fontId="36" fillId="0" borderId="0" xfId="0" applyFont="1" applyFill="1" applyBorder="1"/>
    <xf numFmtId="0" fontId="32" fillId="0" borderId="0" xfId="0" applyFont="1" applyFill="1"/>
    <xf numFmtId="168" fontId="32" fillId="0" borderId="10" xfId="0" applyNumberFormat="1" applyFont="1" applyBorder="1"/>
    <xf numFmtId="168" fontId="31" fillId="0" borderId="10" xfId="0" applyNumberFormat="1" applyFont="1" applyBorder="1" applyAlignment="1">
      <alignment horizontal="center"/>
    </xf>
    <xf numFmtId="49" fontId="32" fillId="0" borderId="34" xfId="0" applyNumberFormat="1" applyFont="1" applyFill="1" applyBorder="1" applyAlignment="1">
      <alignment horizontal="right"/>
    </xf>
    <xf numFmtId="165" fontId="31" fillId="0" borderId="36" xfId="1" applyFont="1" applyFill="1" applyBorder="1"/>
    <xf numFmtId="49" fontId="32" fillId="0" borderId="37" xfId="0" applyNumberFormat="1" applyFont="1" applyFill="1" applyBorder="1" applyAlignment="1">
      <alignment horizontal="right"/>
    </xf>
    <xf numFmtId="165" fontId="31" fillId="0" borderId="38" xfId="1" applyFont="1" applyFill="1" applyBorder="1" applyAlignment="1">
      <alignment horizontal="center"/>
    </xf>
    <xf numFmtId="165" fontId="31" fillId="0" borderId="38" xfId="1" applyFont="1" applyFill="1" applyBorder="1"/>
    <xf numFmtId="49" fontId="32" fillId="0" borderId="4" xfId="0" applyNumberFormat="1" applyFont="1" applyFill="1" applyBorder="1" applyAlignment="1">
      <alignment horizontal="right"/>
    </xf>
    <xf numFmtId="165" fontId="31" fillId="0" borderId="5" xfId="1" applyFont="1" applyFill="1" applyBorder="1"/>
    <xf numFmtId="49" fontId="30" fillId="0" borderId="37" xfId="0" applyNumberFormat="1" applyFont="1" applyFill="1" applyBorder="1" applyAlignment="1">
      <alignment horizontal="right"/>
    </xf>
    <xf numFmtId="165" fontId="30" fillId="0" borderId="38" xfId="1" applyFont="1" applyFill="1" applyBorder="1"/>
    <xf numFmtId="49" fontId="32" fillId="0" borderId="37" xfId="1" applyNumberFormat="1" applyFont="1" applyFill="1" applyBorder="1" applyAlignment="1">
      <alignment horizontal="right"/>
    </xf>
    <xf numFmtId="165" fontId="31" fillId="0" borderId="5" xfId="1" applyFont="1" applyFill="1" applyBorder="1" applyAlignment="1">
      <alignment horizontal="center"/>
    </xf>
    <xf numFmtId="49" fontId="32" fillId="0" borderId="37" xfId="1" quotePrefix="1" applyNumberFormat="1" applyFont="1" applyFill="1" applyBorder="1" applyAlignment="1">
      <alignment horizontal="right"/>
    </xf>
    <xf numFmtId="49" fontId="32" fillId="0" borderId="4" xfId="1" quotePrefix="1" applyNumberFormat="1" applyFont="1" applyFill="1" applyBorder="1" applyAlignment="1">
      <alignment horizontal="right"/>
    </xf>
    <xf numFmtId="49" fontId="32" fillId="0" borderId="37" xfId="0" quotePrefix="1" applyNumberFormat="1" applyFont="1" applyFill="1" applyBorder="1" applyAlignment="1">
      <alignment horizontal="right"/>
    </xf>
    <xf numFmtId="49" fontId="33" fillId="0" borderId="37" xfId="1" applyNumberFormat="1" applyFont="1" applyFill="1" applyBorder="1" applyAlignment="1">
      <alignment horizontal="right"/>
    </xf>
    <xf numFmtId="165" fontId="34" fillId="0" borderId="38" xfId="1" applyFont="1" applyFill="1" applyBorder="1"/>
    <xf numFmtId="49" fontId="35" fillId="0" borderId="37" xfId="0" applyNumberFormat="1" applyFont="1" applyFill="1" applyBorder="1" applyAlignment="1">
      <alignment horizontal="right"/>
    </xf>
    <xf numFmtId="165" fontId="36" fillId="0" borderId="38" xfId="1" applyFont="1" applyFill="1" applyBorder="1" applyAlignment="1">
      <alignment horizontal="center"/>
    </xf>
    <xf numFmtId="49" fontId="32" fillId="0" borderId="26" xfId="0" applyNumberFormat="1" applyFont="1" applyFill="1" applyBorder="1" applyAlignment="1">
      <alignment horizontal="right"/>
    </xf>
    <xf numFmtId="165" fontId="31" fillId="0" borderId="29" xfId="1" applyFont="1" applyFill="1" applyBorder="1"/>
    <xf numFmtId="0" fontId="32" fillId="0" borderId="2" xfId="0" applyFont="1" applyFill="1" applyBorder="1"/>
    <xf numFmtId="165" fontId="32" fillId="0" borderId="3" xfId="1" applyFont="1" applyFill="1" applyBorder="1"/>
    <xf numFmtId="0" fontId="32" fillId="0" borderId="4" xfId="0" applyFont="1" applyFill="1" applyBorder="1"/>
    <xf numFmtId="165" fontId="32" fillId="0" borderId="5" xfId="1" applyFont="1" applyFill="1" applyBorder="1"/>
    <xf numFmtId="0" fontId="32" fillId="0" borderId="6" xfId="0" applyFont="1" applyFill="1" applyBorder="1"/>
    <xf numFmtId="165" fontId="32" fillId="0" borderId="7" xfId="1" applyFont="1" applyFill="1" applyBorder="1"/>
    <xf numFmtId="0" fontId="4" fillId="0" borderId="40" xfId="0" applyFont="1" applyBorder="1"/>
    <xf numFmtId="0" fontId="4" fillId="0" borderId="41" xfId="0" applyFont="1" applyBorder="1" applyAlignment="1">
      <alignment horizontal="center"/>
    </xf>
    <xf numFmtId="168" fontId="4" fillId="0" borderId="41" xfId="0" applyNumberFormat="1" applyFont="1" applyBorder="1" applyAlignment="1">
      <alignment horizontal="center"/>
    </xf>
    <xf numFmtId="165" fontId="4" fillId="0" borderId="41" xfId="1" applyFont="1" applyBorder="1" applyAlignment="1">
      <alignment horizontal="center"/>
    </xf>
    <xf numFmtId="165" fontId="4" fillId="0" borderId="41" xfId="1" applyFont="1" applyBorder="1"/>
    <xf numFmtId="165" fontId="3" fillId="25" borderId="1" xfId="1" applyFont="1" applyFill="1" applyBorder="1"/>
    <xf numFmtId="165" fontId="4" fillId="25" borderId="1" xfId="1" applyFont="1" applyFill="1" applyBorder="1"/>
    <xf numFmtId="0" fontId="37" fillId="0" borderId="0" xfId="0" applyFont="1"/>
    <xf numFmtId="0" fontId="38" fillId="0" borderId="0" xfId="0" applyFont="1"/>
    <xf numFmtId="0" fontId="38" fillId="0" borderId="0" xfId="0" applyFont="1" applyFill="1" applyBorder="1"/>
    <xf numFmtId="0" fontId="39" fillId="5" borderId="1" xfId="0" applyFont="1" applyFill="1" applyBorder="1"/>
    <xf numFmtId="0" fontId="39" fillId="0" borderId="0" xfId="0" applyFont="1" applyFill="1" applyBorder="1"/>
    <xf numFmtId="165" fontId="38" fillId="0" borderId="1" xfId="1" applyFont="1" applyBorder="1" applyAlignment="1"/>
    <xf numFmtId="165" fontId="38" fillId="0" borderId="0" xfId="1" applyFont="1" applyFill="1" applyBorder="1" applyAlignment="1"/>
    <xf numFmtId="168" fontId="38" fillId="2" borderId="1" xfId="0" applyNumberFormat="1" applyFont="1" applyFill="1" applyBorder="1" applyAlignment="1">
      <alignment horizontal="center"/>
    </xf>
    <xf numFmtId="168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165" fontId="38" fillId="2" borderId="1" xfId="1" applyFont="1" applyFill="1" applyBorder="1"/>
    <xf numFmtId="165" fontId="38" fillId="0" borderId="0" xfId="1" applyFont="1" applyFill="1" applyBorder="1"/>
    <xf numFmtId="168" fontId="38" fillId="0" borderId="1" xfId="0" applyNumberFormat="1" applyFont="1" applyBorder="1" applyAlignment="1">
      <alignment horizontal="center"/>
    </xf>
    <xf numFmtId="0" fontId="38" fillId="0" borderId="0" xfId="0" applyFont="1" applyFill="1"/>
    <xf numFmtId="165" fontId="38" fillId="0" borderId="39" xfId="1" applyFont="1" applyFill="1" applyBorder="1"/>
    <xf numFmtId="165" fontId="38" fillId="0" borderId="1" xfId="1" applyFont="1" applyFill="1" applyBorder="1"/>
    <xf numFmtId="168" fontId="38" fillId="0" borderId="39" xfId="0" applyNumberFormat="1" applyFont="1" applyFill="1" applyBorder="1" applyAlignment="1">
      <alignment horizontal="center"/>
    </xf>
    <xf numFmtId="168" fontId="38" fillId="0" borderId="1" xfId="0" applyNumberFormat="1" applyFont="1" applyFill="1" applyBorder="1" applyAlignment="1">
      <alignment horizontal="center"/>
    </xf>
    <xf numFmtId="0" fontId="37" fillId="0" borderId="39" xfId="0" applyFont="1" applyFill="1" applyBorder="1"/>
    <xf numFmtId="0" fontId="37" fillId="0" borderId="1" xfId="0" applyFont="1" applyFill="1" applyBorder="1"/>
    <xf numFmtId="168" fontId="38" fillId="0" borderId="0" xfId="0" applyNumberFormat="1" applyFont="1" applyFill="1"/>
    <xf numFmtId="168" fontId="38" fillId="0" borderId="0" xfId="0" applyNumberFormat="1" applyFont="1" applyFill="1" applyBorder="1"/>
    <xf numFmtId="164" fontId="38" fillId="0" borderId="0" xfId="0" applyNumberFormat="1" applyFont="1" applyFill="1"/>
    <xf numFmtId="0" fontId="37" fillId="0" borderId="0" xfId="0" applyFont="1" applyFill="1" applyBorder="1"/>
    <xf numFmtId="0" fontId="37" fillId="0" borderId="0" xfId="0" applyFont="1" applyFill="1"/>
    <xf numFmtId="165" fontId="38" fillId="0" borderId="0" xfId="1" applyFont="1" applyFill="1"/>
    <xf numFmtId="168" fontId="38" fillId="0" borderId="0" xfId="0" applyNumberFormat="1" applyFont="1" applyFill="1" applyAlignment="1">
      <alignment horizontal="center"/>
    </xf>
    <xf numFmtId="165" fontId="38" fillId="0" borderId="39" xfId="1" applyFont="1" applyFill="1" applyBorder="1" applyAlignment="1">
      <alignment horizontal="center"/>
    </xf>
    <xf numFmtId="165" fontId="38" fillId="0" borderId="1" xfId="1" applyFont="1" applyFill="1" applyBorder="1" applyAlignment="1">
      <alignment horizontal="center"/>
    </xf>
    <xf numFmtId="169" fontId="38" fillId="0" borderId="39" xfId="1" applyNumberFormat="1" applyFont="1" applyFill="1" applyBorder="1" applyAlignment="1">
      <alignment horizontal="center"/>
    </xf>
    <xf numFmtId="169" fontId="38" fillId="0" borderId="1" xfId="1" applyNumberFormat="1" applyFont="1" applyFill="1" applyBorder="1" applyAlignment="1">
      <alignment horizontal="center"/>
    </xf>
    <xf numFmtId="169" fontId="38" fillId="0" borderId="0" xfId="1" applyNumberFormat="1" applyFont="1" applyFill="1" applyAlignment="1">
      <alignment horizontal="center"/>
    </xf>
    <xf numFmtId="169" fontId="38" fillId="0" borderId="0" xfId="1" applyNumberFormat="1" applyFont="1" applyFill="1" applyBorder="1" applyAlignment="1">
      <alignment horizontal="center"/>
    </xf>
    <xf numFmtId="168" fontId="38" fillId="0" borderId="39" xfId="1" applyNumberFormat="1" applyFont="1" applyFill="1" applyBorder="1" applyAlignment="1">
      <alignment horizontal="center"/>
    </xf>
    <xf numFmtId="168" fontId="38" fillId="0" borderId="1" xfId="1" applyNumberFormat="1" applyFont="1" applyFill="1" applyBorder="1" applyAlignment="1">
      <alignment horizontal="center"/>
    </xf>
    <xf numFmtId="49" fontId="38" fillId="0" borderId="0" xfId="0" applyNumberFormat="1" applyFont="1" applyFill="1" applyAlignment="1">
      <alignment horizontal="center"/>
    </xf>
    <xf numFmtId="49" fontId="38" fillId="0" borderId="0" xfId="0" applyNumberFormat="1" applyFont="1" applyFill="1" applyBorder="1" applyAlignment="1">
      <alignment horizontal="center"/>
    </xf>
    <xf numFmtId="164" fontId="38" fillId="0" borderId="0" xfId="0" applyNumberFormat="1" applyFont="1" applyFill="1" applyBorder="1"/>
    <xf numFmtId="165" fontId="40" fillId="0" borderId="0" xfId="1" applyFont="1" applyFill="1"/>
    <xf numFmtId="165" fontId="40" fillId="0" borderId="0" xfId="1" applyFont="1" applyFill="1" applyBorder="1"/>
    <xf numFmtId="168" fontId="41" fillId="0" borderId="39" xfId="0" applyNumberFormat="1" applyFont="1" applyFill="1" applyBorder="1" applyAlignment="1">
      <alignment horizontal="center"/>
    </xf>
    <xf numFmtId="168" fontId="41" fillId="0" borderId="1" xfId="0" applyNumberFormat="1" applyFont="1" applyFill="1" applyBorder="1" applyAlignment="1">
      <alignment horizontal="center"/>
    </xf>
    <xf numFmtId="0" fontId="41" fillId="0" borderId="0" xfId="0" applyFont="1" applyFill="1" applyAlignment="1">
      <alignment horizontal="center"/>
    </xf>
    <xf numFmtId="0" fontId="41" fillId="0" borderId="0" xfId="0" applyFont="1" applyFill="1" applyBorder="1" applyAlignment="1">
      <alignment horizontal="center"/>
    </xf>
    <xf numFmtId="165" fontId="41" fillId="0" borderId="39" xfId="1" applyFont="1" applyFill="1" applyBorder="1"/>
    <xf numFmtId="165" fontId="41" fillId="0" borderId="1" xfId="1" applyFont="1" applyFill="1" applyBorder="1"/>
    <xf numFmtId="0" fontId="41" fillId="0" borderId="0" xfId="0" applyFont="1" applyFill="1"/>
    <xf numFmtId="0" fontId="41" fillId="0" borderId="0" xfId="0" applyFont="1" applyFill="1" applyBorder="1"/>
    <xf numFmtId="165" fontId="39" fillId="0" borderId="0" xfId="1" applyFont="1" applyFill="1" applyBorder="1"/>
    <xf numFmtId="165" fontId="38" fillId="0" borderId="0" xfId="0" applyNumberFormat="1" applyFont="1" applyFill="1"/>
    <xf numFmtId="165" fontId="38" fillId="0" borderId="0" xfId="1" applyFont="1"/>
    <xf numFmtId="9" fontId="3" fillId="0" borderId="0" xfId="1" applyNumberFormat="1" applyFont="1"/>
    <xf numFmtId="164" fontId="38" fillId="0" borderId="0" xfId="0" applyNumberFormat="1" applyFont="1" applyAlignment="1">
      <alignment horizontal="center"/>
    </xf>
    <xf numFmtId="0" fontId="4" fillId="0" borderId="10" xfId="0" applyFont="1" applyFill="1" applyBorder="1"/>
    <xf numFmtId="165" fontId="3" fillId="0" borderId="1" xfId="0" applyNumberFormat="1" applyFont="1" applyFill="1" applyBorder="1"/>
    <xf numFmtId="165" fontId="3" fillId="0" borderId="1" xfId="1" applyFont="1" applyFill="1" applyBorder="1" applyAlignment="1">
      <alignment horizontal="center"/>
    </xf>
    <xf numFmtId="165" fontId="4" fillId="0" borderId="1" xfId="0" applyNumberFormat="1" applyFont="1" applyFill="1" applyBorder="1"/>
    <xf numFmtId="165" fontId="31" fillId="0" borderId="0" xfId="0" applyNumberFormat="1" applyFont="1"/>
    <xf numFmtId="165" fontId="31" fillId="0" borderId="0" xfId="0" applyNumberFormat="1" applyFont="1" applyFill="1"/>
    <xf numFmtId="164" fontId="31" fillId="0" borderId="0" xfId="0" applyNumberFormat="1" applyFont="1"/>
    <xf numFmtId="0" fontId="3" fillId="31" borderId="1" xfId="0" applyFont="1" applyFill="1" applyBorder="1"/>
    <xf numFmtId="168" fontId="3" fillId="31" borderId="1" xfId="0" applyNumberFormat="1" applyFont="1" applyFill="1" applyBorder="1" applyAlignment="1">
      <alignment horizontal="center"/>
    </xf>
    <xf numFmtId="165" fontId="3" fillId="31" borderId="1" xfId="1" quotePrefix="1" applyFont="1" applyFill="1" applyBorder="1" applyAlignment="1">
      <alignment horizontal="center"/>
    </xf>
    <xf numFmtId="165" fontId="3" fillId="31" borderId="1" xfId="1" applyFont="1" applyFill="1" applyBorder="1"/>
    <xf numFmtId="165" fontId="4" fillId="31" borderId="1" xfId="1" applyFont="1" applyFill="1" applyBorder="1"/>
    <xf numFmtId="165" fontId="3" fillId="31" borderId="8" xfId="1" applyFont="1" applyFill="1" applyBorder="1"/>
    <xf numFmtId="165" fontId="3" fillId="31" borderId="0" xfId="1" applyFont="1" applyFill="1" applyBorder="1" applyAlignment="1">
      <alignment horizontal="center"/>
    </xf>
    <xf numFmtId="0" fontId="3" fillId="31" borderId="0" xfId="0" applyFont="1" applyFill="1"/>
    <xf numFmtId="165" fontId="3" fillId="31" borderId="1" xfId="1" quotePrefix="1" applyFont="1" applyFill="1" applyBorder="1"/>
    <xf numFmtId="165" fontId="3" fillId="31" borderId="0" xfId="1" applyFont="1" applyFill="1" applyBorder="1"/>
    <xf numFmtId="165" fontId="3" fillId="31" borderId="0" xfId="1" quotePrefix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left"/>
    </xf>
    <xf numFmtId="49" fontId="26" fillId="0" borderId="1" xfId="0" applyNumberFormat="1" applyFont="1" applyFill="1" applyBorder="1"/>
    <xf numFmtId="168" fontId="26" fillId="0" borderId="1" xfId="0" applyNumberFormat="1" applyFont="1" applyFill="1" applyBorder="1" applyAlignment="1">
      <alignment horizontal="center"/>
    </xf>
    <xf numFmtId="165" fontId="26" fillId="0" borderId="1" xfId="1" quotePrefix="1" applyFont="1" applyFill="1" applyBorder="1"/>
    <xf numFmtId="165" fontId="26" fillId="0" borderId="1" xfId="1" applyFont="1" applyFill="1" applyBorder="1"/>
    <xf numFmtId="165" fontId="26" fillId="0" borderId="8" xfId="1" applyFont="1" applyFill="1" applyBorder="1"/>
    <xf numFmtId="165" fontId="26" fillId="0" borderId="0" xfId="1" applyFont="1" applyFill="1" applyBorder="1" applyAlignment="1">
      <alignment horizontal="center"/>
    </xf>
    <xf numFmtId="0" fontId="26" fillId="0" borderId="0" xfId="0" applyFont="1" applyFill="1"/>
    <xf numFmtId="165" fontId="3" fillId="31" borderId="1" xfId="1" applyNumberFormat="1" applyFont="1" applyFill="1" applyBorder="1"/>
    <xf numFmtId="0" fontId="3" fillId="31" borderId="0" xfId="0" applyFont="1" applyFill="1" applyBorder="1"/>
    <xf numFmtId="165" fontId="4" fillId="31" borderId="0" xfId="1" quotePrefix="1" applyFont="1" applyFill="1" applyBorder="1" applyAlignment="1">
      <alignment horizontal="center"/>
    </xf>
    <xf numFmtId="0" fontId="22" fillId="31" borderId="1" xfId="0" applyFont="1" applyFill="1" applyBorder="1"/>
    <xf numFmtId="165" fontId="3" fillId="28" borderId="1" xfId="1" applyFont="1" applyFill="1" applyBorder="1"/>
    <xf numFmtId="165" fontId="3" fillId="33" borderId="1" xfId="1" applyFont="1" applyFill="1" applyBorder="1"/>
    <xf numFmtId="166" fontId="4" fillId="24" borderId="11" xfId="0" applyNumberFormat="1" applyFont="1" applyFill="1" applyBorder="1" applyAlignment="1">
      <alignment horizontal="center"/>
    </xf>
    <xf numFmtId="166" fontId="4" fillId="24" borderId="16" xfId="0" applyNumberFormat="1" applyFont="1" applyFill="1" applyBorder="1" applyAlignment="1">
      <alignment horizontal="center"/>
    </xf>
    <xf numFmtId="166" fontId="4" fillId="24" borderId="12" xfId="0" applyNumberFormat="1" applyFont="1" applyFill="1" applyBorder="1" applyAlignment="1">
      <alignment horizontal="center"/>
    </xf>
    <xf numFmtId="166" fontId="4" fillId="3" borderId="11" xfId="0" applyNumberFormat="1" applyFont="1" applyFill="1" applyBorder="1" applyAlignment="1">
      <alignment horizontal="center"/>
    </xf>
    <xf numFmtId="166" fontId="4" fillId="3" borderId="16" xfId="0" applyNumberFormat="1" applyFont="1" applyFill="1" applyBorder="1" applyAlignment="1">
      <alignment horizontal="center"/>
    </xf>
    <xf numFmtId="166" fontId="4" fillId="3" borderId="12" xfId="0" applyNumberFormat="1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revisionHeaders" Target="revisions/revisionHeader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revisions/_rels/revisionHeaders.xml.rels><?xml version="1.0" encoding="UTF-8" standalone="yes"?>
<Relationships xmlns="http://schemas.openxmlformats.org/package/2006/relationships"><Relationship Id="rId93" Type="http://schemas.openxmlformats.org/officeDocument/2006/relationships/revisionLog" Target="revisionLog1.xml"/><Relationship Id="rId92" Type="http://schemas.openxmlformats.org/officeDocument/2006/relationships/revisionLog" Target="revisionLog12.xml"/><Relationship Id="rId91" Type="http://schemas.openxmlformats.org/officeDocument/2006/relationships/revisionLog" Target="revisionLog11.xml"/><Relationship Id="rId90" Type="http://schemas.openxmlformats.org/officeDocument/2006/relationships/revisionLog" Target="revisionLog1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9D2E4B2-8B76-44F9-AE1C-FF73558C739D}" diskRevisions="1" revisionId="2789" version="2" protected="1">
  <header guid="{2DDCCFC5-BBE6-45DF-9383-526C43D0B068}" dateTime="2021-02-24T08:37:06" maxSheetId="16" userName="Andre A. Le Grange" r:id="rId90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05F9F87-7F30-446F-B832-A93E618A0A41}" dateTime="2021-02-25T00:31:56" maxSheetId="16" userName="Andre A. Le Grange" r:id="rId91" minRId="2735" maxRId="274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62B60E54-42A3-4632-9A2F-699EE901D4F2}" dateTime="2021-02-26T14:33:05" maxSheetId="16" userName="Johan Biewenga" r:id="rId92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  <header guid="{19D2E4B2-8B76-44F9-AE1C-FF73558C739D}" dateTime="2021-02-26T14:35:02" maxSheetId="16" userName="Johan Biewenga" r:id="rId93">
    <sheetIdMap count="15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5BAD813-6002-444C-94EE-85A3EFC799A5}" action="delete"/>
  <rdn rId="0" localSheetId="1" customView="1" name="Z_85BAD813_6002_444C_94EE_85A3EFC799A5_.wvu.PrintArea" hidden="1" oldHidden="1">
    <formula>mayor!$A$1:$Q$42</formula>
    <oldFormula>mayor!$A$1:$Q$42</oldFormula>
  </rdn>
  <rdn rId="0" localSheetId="1" customView="1" name="Z_85BAD813_6002_444C_94EE_85A3EFC799A5_.wvu.Cols" hidden="1" oldHidden="1">
    <formula>mayor!$P:$P</formula>
    <oldFormula>mayor!$P:$P</oldFormula>
  </rdn>
  <rdn rId="0" localSheetId="2" customView="1" name="Z_85BAD813_6002_444C_94EE_85A3EFC799A5_.wvu.PrintArea" hidden="1" oldHidden="1">
    <formula>income!$A$1:$Q$16</formula>
    <oldFormula>income!$A$1:$Q$16</oldFormula>
  </rdn>
  <rdn rId="0" localSheetId="2" customView="1" name="Z_85BAD813_6002_444C_94EE_85A3EFC799A5_.wvu.Cols" hidden="1" oldHidden="1">
    <formula>income!$P:$P</formula>
    <oldFormula>income!$P:$P</oldFormula>
  </rdn>
  <rdn rId="0" localSheetId="3" customView="1" name="Z_85BAD813_6002_444C_94EE_85A3EFC799A5_.wvu.PrintArea" hidden="1" oldHidden="1">
    <formula>workshop!$A$1:$Q$20</formula>
    <oldFormula>workshop!$A$1:$Q$20</oldFormula>
  </rdn>
  <rdn rId="0" localSheetId="3" customView="1" name="Z_85BAD813_6002_444C_94EE_85A3EFC799A5_.wvu.Cols" hidden="1" oldHidden="1">
    <formula>workshop!$J:$J,workshop!$P:$P</formula>
    <oldFormula>workshop!$J:$J,workshop!$P:$P</oldFormula>
  </rdn>
  <rdn rId="0" localSheetId="4" customView="1" name="Z_85BAD813_6002_444C_94EE_85A3EFC799A5_.wvu.PrintArea" hidden="1" oldHidden="1">
    <formula>'COMMUNITY SERV'!$A$1:$Q$102</formula>
    <oldFormula>'COMMUNITY SERV'!$A$1:$Q$102</oldFormula>
  </rdn>
  <rdn rId="0" localSheetId="5" customView="1" name="Z_85BAD813_6002_444C_94EE_85A3EFC799A5_.wvu.PrintArea" hidden="1" oldHidden="1">
    <formula>EEM!$A$1:$Q$97</formula>
    <oldFormula>EEM!$A$1:$Q$97</oldFormula>
  </rdn>
  <rdn rId="0" localSheetId="6" customView="1" name="Z_85BAD813_6002_444C_94EE_85A3EFC799A5_.wvu.PrintArea" hidden="1" oldHidden="1">
    <formula>CEM!$A$1:$Q$145</formula>
    <oldFormula>CEM!$A$1:$Q$145</oldFormula>
  </rdn>
  <rdn rId="0" localSheetId="6" customView="1" name="Z_85BAD813_6002_444C_94EE_85A3EFC799A5_.wvu.Rows" hidden="1" oldHidden="1">
    <formula>CEM!$140:$140</formula>
    <oldFormula>CEM!$140:$140</oldFormula>
  </rdn>
  <rdn rId="0" localSheetId="6" customView="1" name="Z_85BAD813_6002_444C_94EE_85A3EFC799A5_.wvu.Cols" hidden="1" oldHidden="1">
    <formula>CEM!$P:$P</formula>
    <oldFormula>CEM!$P:$P</oldFormula>
  </rdn>
  <rdn rId="0" localSheetId="7" customView="1" name="Z_85BAD813_6002_444C_94EE_85A3EFC799A5_.wvu.PrintArea" hidden="1" oldHidden="1">
    <formula>MDC!$A$1:$Q$90</formula>
    <oldFormula>MDC!$A$1:$Q$90</oldFormula>
  </rdn>
  <rdn rId="0" localSheetId="7" customView="1" name="Z_85BAD813_6002_444C_94EE_85A3EFC799A5_.wvu.Rows" hidden="1" oldHidden="1">
    <formula>MDC!$67:$73</formula>
    <oldFormula>MDC!$67:$73</oldFormula>
  </rdn>
  <rdn rId="0" localSheetId="7" customView="1" name="Z_85BAD813_6002_444C_94EE_85A3EFC799A5_.wvu.Cols" hidden="1" oldHidden="1">
    <formula>MDC!$J:$J,MDC!$P:$P</formula>
    <oldFormula>MDC!$J:$J,MDC!$P:$P</oldFormula>
  </rdn>
  <rdn rId="0" localSheetId="8" customView="1" name="Z_85BAD813_6002_444C_94EE_85A3EFC799A5_.wvu.PrintArea" hidden="1" oldHidden="1">
    <formula>BUDGET!$A$1:$B$76</formula>
    <oldFormula>BUDGET!$A$1:$B$76</oldFormula>
  </rdn>
  <rdn rId="0" localSheetId="8" customView="1" name="Z_85BAD813_6002_444C_94EE_85A3EFC799A5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85BAD813_6002_444C_94EE_85A3EFC799A5_.wvu.Cols" hidden="1" oldHidden="1">
    <formula>BUDGET!$C:$S</formula>
    <oldFormula>BUDGET!$C:$S</oldFormula>
  </rdn>
  <rdn rId="0" localSheetId="10" customView="1" name="Z_85BAD813_6002_444C_94EE_85A3EFC799A5_.wvu.FilterData" hidden="1" oldHidden="1">
    <formula>orig!$A$1:$AN$198</formula>
    <oldFormula>orig!$A$1:$AN$198</oldFormula>
  </rdn>
  <rdn rId="0" localSheetId="11" customView="1" name="Z_85BAD813_6002_444C_94EE_85A3EFC799A5_.wvu.Cols" hidden="1" oldHidden="1">
    <formula>'1-10'!$B:$B</formula>
    <oldFormula>'1-10'!$B:$B</oldFormula>
  </rdn>
  <rdn rId="0" localSheetId="11" customView="1" name="Z_85BAD813_6002_444C_94EE_85A3EFC799A5_.wvu.FilterData" hidden="1" oldHidden="1">
    <formula>'1-10'!$A$1:$AY$100</formula>
    <oldFormula>'1-10'!$A$1:$AY$100</oldFormula>
  </rdn>
  <rdn rId="0" localSheetId="12" customView="1" name="Z_85BAD813_6002_444C_94EE_85A3EFC799A5_.wvu.Rows" hidden="1" oldHidden="1">
    <formula>'new veh 2012'!$96:$97</formula>
    <oldFormula>'new veh 2012'!$96:$97</oldFormula>
  </rdn>
  <rdn rId="0" localSheetId="12" customView="1" name="Z_85BAD813_6002_444C_94EE_85A3EFC799A5_.wvu.FilterData" hidden="1" oldHidden="1">
    <formula>'new veh 2012'!$A$1:$J$95</formula>
    <oldFormula>'new veh 2012'!$A$1:$J$95</oldFormula>
  </rdn>
  <rdn rId="0" localSheetId="14" customView="1" name="Z_85BAD813_6002_444C_94EE_85A3EFC799A5_.wvu.FilterData" hidden="1" oldHidden="1">
    <formula>stbk!$A$1:$G$199</formula>
    <oldFormula>stbk!$A$1:$G$199</oldFormula>
  </rdn>
  <rcv guid="{85BAD813-6002-444C-94EE-85A3EFC799A5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F69299D-7752-4436-A45D-28F739CEE21B}" action="delete"/>
  <rdn rId="0" localSheetId="1" customView="1" name="Z_DF69299D_7752_4436_A45D_28F739CEE21B_.wvu.PrintArea" hidden="1" oldHidden="1">
    <formula>mayor!$A$1:$Q$42</formula>
    <oldFormula>mayor!$A$1:$Q$42</oldFormula>
  </rdn>
  <rdn rId="0" localSheetId="1" customView="1" name="Z_DF69299D_7752_4436_A45D_28F739CEE21B_.wvu.Cols" hidden="1" oldHidden="1">
    <formula>mayor!$P:$P</formula>
    <oldFormula>mayor!$P:$P</oldFormula>
  </rdn>
  <rdn rId="0" localSheetId="2" customView="1" name="Z_DF69299D_7752_4436_A45D_28F739CEE21B_.wvu.PrintArea" hidden="1" oldHidden="1">
    <formula>income!$A$1:$Q$16</formula>
    <oldFormula>income!$A$1:$Q$16</oldFormula>
  </rdn>
  <rdn rId="0" localSheetId="2" customView="1" name="Z_DF69299D_7752_4436_A45D_28F739CEE21B_.wvu.Cols" hidden="1" oldHidden="1">
    <formula>income!$P:$P</formula>
    <oldFormula>income!$P:$P</oldFormula>
  </rdn>
  <rdn rId="0" localSheetId="3" customView="1" name="Z_DF69299D_7752_4436_A45D_28F739CEE21B_.wvu.PrintArea" hidden="1" oldHidden="1">
    <formula>workshop!$A$1:$Q$20</formula>
    <oldFormula>workshop!$A$1:$Q$20</oldFormula>
  </rdn>
  <rdn rId="0" localSheetId="3" customView="1" name="Z_DF69299D_7752_4436_A45D_28F739CEE21B_.wvu.Cols" hidden="1" oldHidden="1">
    <formula>workshop!$J:$J,workshop!$P:$P</formula>
    <oldFormula>workshop!$J:$J,workshop!$P:$P</oldFormula>
  </rdn>
  <rdn rId="0" localSheetId="4" customView="1" name="Z_DF69299D_7752_4436_A45D_28F739CEE21B_.wvu.PrintArea" hidden="1" oldHidden="1">
    <formula>'COMMUNITY SERV'!$A$1:$Q$102</formula>
    <oldFormula>'COMMUNITY SERV'!$A$1:$Q$102</oldFormula>
  </rdn>
  <rdn rId="0" localSheetId="5" customView="1" name="Z_DF69299D_7752_4436_A45D_28F739CEE21B_.wvu.PrintArea" hidden="1" oldHidden="1">
    <formula>EEM!$A$1:$Q$97</formula>
    <oldFormula>EEM!$A$1:$Q$97</oldFormula>
  </rdn>
  <rdn rId="0" localSheetId="6" customView="1" name="Z_DF69299D_7752_4436_A45D_28F739CEE21B_.wvu.PrintArea" hidden="1" oldHidden="1">
    <formula>CEM!$A$1:$Q$145</formula>
    <oldFormula>CEM!$A$1:$Q$145</oldFormula>
  </rdn>
  <rdn rId="0" localSheetId="6" customView="1" name="Z_DF69299D_7752_4436_A45D_28F739CEE21B_.wvu.Rows" hidden="1" oldHidden="1">
    <formula>CEM!$140:$140</formula>
    <oldFormula>CEM!$140:$140</oldFormula>
  </rdn>
  <rdn rId="0" localSheetId="6" customView="1" name="Z_DF69299D_7752_4436_A45D_28F739CEE21B_.wvu.Cols" hidden="1" oldHidden="1">
    <formula>CEM!$P:$P</formula>
    <oldFormula>CEM!$P:$P</oldFormula>
  </rdn>
  <rdn rId="0" localSheetId="7" customView="1" name="Z_DF69299D_7752_4436_A45D_28F739CEE21B_.wvu.PrintArea" hidden="1" oldHidden="1">
    <formula>MDC!$A$1:$Q$90</formula>
    <oldFormula>MDC!$A$1:$Q$90</oldFormula>
  </rdn>
  <rdn rId="0" localSheetId="7" customView="1" name="Z_DF69299D_7752_4436_A45D_28F739CEE21B_.wvu.Rows" hidden="1" oldHidden="1">
    <formula>MDC!$67:$73</formula>
    <oldFormula>MDC!$67:$73</oldFormula>
  </rdn>
  <rdn rId="0" localSheetId="7" customView="1" name="Z_DF69299D_7752_4436_A45D_28F739CEE21B_.wvu.Cols" hidden="1" oldHidden="1">
    <formula>MDC!$J:$J,MDC!$P:$P</formula>
    <oldFormula>MDC!$J:$J,MDC!$P:$P</oldFormula>
  </rdn>
  <rdn rId="0" localSheetId="8" customView="1" name="Z_DF69299D_7752_4436_A45D_28F739CEE21B_.wvu.PrintArea" hidden="1" oldHidden="1">
    <formula>BUDGET!$A$1:$B$76</formula>
    <oldFormula>BUDGET!$A$1:$B$76</oldFormula>
  </rdn>
  <rdn rId="0" localSheetId="8" customView="1" name="Z_DF69299D_7752_4436_A45D_28F739CEE21B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  <oldFormula>BUDGET!$3:$7,BUDGET!$9:$9,BUDGET!$11:$11,BUDGET!$13:$16,BUDGET!$18:$21,BUDGET!$23:$23,BUDGET!$25:$28,BUDGET!$30:$36,BUDGET!$38:$38,BUDGET!$40:$40,BUDGET!$42:$47,BUDGET!$49:$49,BUDGET!$51:$54,BUDGET!$56:$59,BUDGET!$61:$66,BUDGET!$68:$68,BUDGET!$70:$70</oldFormula>
  </rdn>
  <rdn rId="0" localSheetId="8" customView="1" name="Z_DF69299D_7752_4436_A45D_28F739CEE21B_.wvu.Cols" hidden="1" oldHidden="1">
    <formula>BUDGET!$C:$S</formula>
    <oldFormula>BUDGET!$C:$S</oldFormula>
  </rdn>
  <rdn rId="0" localSheetId="10" customView="1" name="Z_DF69299D_7752_4436_A45D_28F739CEE21B_.wvu.FilterData" hidden="1" oldHidden="1">
    <formula>orig!$A$1:$AN$198</formula>
    <oldFormula>orig!$A$1:$AN$198</oldFormula>
  </rdn>
  <rdn rId="0" localSheetId="11" customView="1" name="Z_DF69299D_7752_4436_A45D_28F739CEE21B_.wvu.Cols" hidden="1" oldHidden="1">
    <formula>'1-10'!$B:$B</formula>
    <oldFormula>'1-10'!$B:$B</oldFormula>
  </rdn>
  <rdn rId="0" localSheetId="11" customView="1" name="Z_DF69299D_7752_4436_A45D_28F739CEE21B_.wvu.FilterData" hidden="1" oldHidden="1">
    <formula>'1-10'!$A$1:$AY$100</formula>
    <oldFormula>'1-10'!$A$1:$AY$100</oldFormula>
  </rdn>
  <rdn rId="0" localSheetId="12" customView="1" name="Z_DF69299D_7752_4436_A45D_28F739CEE21B_.wvu.Rows" hidden="1" oldHidden="1">
    <formula>'new veh 2012'!$96:$97</formula>
    <oldFormula>'new veh 2012'!$96:$97</oldFormula>
  </rdn>
  <rdn rId="0" localSheetId="12" customView="1" name="Z_DF69299D_7752_4436_A45D_28F739CEE21B_.wvu.FilterData" hidden="1" oldHidden="1">
    <formula>'new veh 2012'!$A$1:$J$95</formula>
    <oldFormula>'new veh 2012'!$A$1:$J$95</oldFormula>
  </rdn>
  <rdn rId="0" localSheetId="14" customView="1" name="Z_DF69299D_7752_4436_A45D_28F739CEE21B_.wvu.FilterData" hidden="1" oldHidden="1">
    <formula>stbk!$A$1:$G$199</formula>
    <oldFormula>stbk!$A$1:$G$199</oldFormula>
  </rdn>
  <rcv guid="{DF69299D-7752-4436-A45D-28F739CEE21B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35" sId="9" numFmtId="34">
    <oc r="A4">
      <v>15.5</v>
    </oc>
    <nc r="A4">
      <v>16</v>
    </nc>
  </rcc>
  <rcc rId="2736" sId="2">
    <oc r="A1" t="inlineStr">
      <is>
        <t>VEHICLE BUDGET 2020-2021</t>
      </is>
    </oc>
    <nc r="A1" t="inlineStr">
      <is>
        <t>VEHICLE BUDGET 2021-2022</t>
      </is>
    </nc>
  </rcc>
  <rcc rId="2737" sId="1">
    <oc r="A1" t="inlineStr">
      <is>
        <t>VEHICLE BUDGET 2020-2021</t>
      </is>
    </oc>
    <nc r="A1" t="inlineStr">
      <is>
        <t>VEHICLE BUDGET 2021-2022</t>
      </is>
    </nc>
  </rcc>
  <rcc rId="2738" sId="3">
    <oc r="A1" t="inlineStr">
      <is>
        <t>VEHICLE BUDGET 2020-2021</t>
      </is>
    </oc>
    <nc r="A1" t="inlineStr">
      <is>
        <t>VEHICLE BUDGET 2021-2022</t>
      </is>
    </nc>
  </rcc>
  <rcc rId="2739" sId="4">
    <oc r="A1" t="inlineStr">
      <is>
        <t>VEHICLE BUDGET 2020-2021</t>
      </is>
    </oc>
    <nc r="A1" t="inlineStr">
      <is>
        <t>VEHICLE BUDGET 2021-2022</t>
      </is>
    </nc>
  </rcc>
  <rcc rId="2740" sId="5">
    <oc r="A1" t="inlineStr">
      <is>
        <t>VEHICLE BUDGET 2020-2021</t>
      </is>
    </oc>
    <nc r="A1" t="inlineStr">
      <is>
        <t>VEHICLE BUDGET 2021-2022</t>
      </is>
    </nc>
  </rcc>
  <rcc rId="2741" sId="6">
    <oc r="A1" t="inlineStr">
      <is>
        <t>VEHICLE BUDGET 2020-2021</t>
      </is>
    </oc>
    <nc r="A1" t="inlineStr">
      <is>
        <t>VEHICLE BUDGET 2021-2022</t>
      </is>
    </nc>
  </rcc>
  <rcc rId="2742" sId="7">
    <oc r="A1" t="inlineStr">
      <is>
        <t>VEHICLE BUDGET 2020-2021</t>
      </is>
    </oc>
    <nc r="A1" t="inlineStr">
      <is>
        <t>VEHICLE BUDGET 2021-2022</t>
      </is>
    </nc>
  </rcc>
  <rcc rId="2743" sId="8">
    <oc r="A1" t="inlineStr">
      <is>
        <t>VEHICLE BUDGET 2020-2021</t>
      </is>
    </oc>
    <nc r="A1" t="inlineStr">
      <is>
        <t>VEHICLE BUDGET 2021-2022</t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85BAD813_6002_444C_94EE_85A3EFC799A5_.wvu.PrintArea" hidden="1" oldHidden="1">
    <formula>mayor!$A$1:$Q$42</formula>
  </rdn>
  <rdn rId="0" localSheetId="1" customView="1" name="Z_85BAD813_6002_444C_94EE_85A3EFC799A5_.wvu.Cols" hidden="1" oldHidden="1">
    <formula>mayor!$P:$P</formula>
  </rdn>
  <rdn rId="0" localSheetId="2" customView="1" name="Z_85BAD813_6002_444C_94EE_85A3EFC799A5_.wvu.PrintArea" hidden="1" oldHidden="1">
    <formula>income!$A$1:$Q$16</formula>
  </rdn>
  <rdn rId="0" localSheetId="2" customView="1" name="Z_85BAD813_6002_444C_94EE_85A3EFC799A5_.wvu.Cols" hidden="1" oldHidden="1">
    <formula>income!$P:$P</formula>
  </rdn>
  <rdn rId="0" localSheetId="3" customView="1" name="Z_85BAD813_6002_444C_94EE_85A3EFC799A5_.wvu.PrintArea" hidden="1" oldHidden="1">
    <formula>workshop!$A$1:$Q$20</formula>
  </rdn>
  <rdn rId="0" localSheetId="3" customView="1" name="Z_85BAD813_6002_444C_94EE_85A3EFC799A5_.wvu.Cols" hidden="1" oldHidden="1">
    <formula>workshop!$J:$J,workshop!$P:$P</formula>
  </rdn>
  <rdn rId="0" localSheetId="4" customView="1" name="Z_85BAD813_6002_444C_94EE_85A3EFC799A5_.wvu.PrintArea" hidden="1" oldHidden="1">
    <formula>'COMMUNITY SERV'!$A$1:$Q$102</formula>
  </rdn>
  <rdn rId="0" localSheetId="5" customView="1" name="Z_85BAD813_6002_444C_94EE_85A3EFC799A5_.wvu.PrintArea" hidden="1" oldHidden="1">
    <formula>EEM!$A$1:$Q$97</formula>
  </rdn>
  <rdn rId="0" localSheetId="6" customView="1" name="Z_85BAD813_6002_444C_94EE_85A3EFC799A5_.wvu.PrintArea" hidden="1" oldHidden="1">
    <formula>CEM!$A$1:$Q$145</formula>
  </rdn>
  <rdn rId="0" localSheetId="6" customView="1" name="Z_85BAD813_6002_444C_94EE_85A3EFC799A5_.wvu.Rows" hidden="1" oldHidden="1">
    <formula>CEM!$140:$140</formula>
  </rdn>
  <rdn rId="0" localSheetId="6" customView="1" name="Z_85BAD813_6002_444C_94EE_85A3EFC799A5_.wvu.Cols" hidden="1" oldHidden="1">
    <formula>CEM!$P:$P</formula>
  </rdn>
  <rdn rId="0" localSheetId="7" customView="1" name="Z_85BAD813_6002_444C_94EE_85A3EFC799A5_.wvu.PrintArea" hidden="1" oldHidden="1">
    <formula>MDC!$A$1:$Q$90</formula>
  </rdn>
  <rdn rId="0" localSheetId="7" customView="1" name="Z_85BAD813_6002_444C_94EE_85A3EFC799A5_.wvu.Rows" hidden="1" oldHidden="1">
    <formula>MDC!$67:$73</formula>
  </rdn>
  <rdn rId="0" localSheetId="7" customView="1" name="Z_85BAD813_6002_444C_94EE_85A3EFC799A5_.wvu.Cols" hidden="1" oldHidden="1">
    <formula>MDC!$J:$J,MDC!$P:$P</formula>
  </rdn>
  <rdn rId="0" localSheetId="8" customView="1" name="Z_85BAD813_6002_444C_94EE_85A3EFC799A5_.wvu.PrintArea" hidden="1" oldHidden="1">
    <formula>BUDGET!$A$1:$B$76</formula>
  </rdn>
  <rdn rId="0" localSheetId="8" customView="1" name="Z_85BAD813_6002_444C_94EE_85A3EFC799A5_.wvu.Rows" hidden="1" oldHidden="1">
    <formula>BUDGET!$3:$7,BUDGET!$9:$9,BUDGET!$11:$11,BUDGET!$13:$16,BUDGET!$18:$21,BUDGET!$23:$23,BUDGET!$25:$28,BUDGET!$30:$36,BUDGET!$38:$38,BUDGET!$40:$40,BUDGET!$42:$47,BUDGET!$49:$49,BUDGET!$51:$54,BUDGET!$56:$59,BUDGET!$61:$66,BUDGET!$68:$68,BUDGET!$70:$70</formula>
  </rdn>
  <rdn rId="0" localSheetId="8" customView="1" name="Z_85BAD813_6002_444C_94EE_85A3EFC799A5_.wvu.Cols" hidden="1" oldHidden="1">
    <formula>BUDGET!$C:$S</formula>
  </rdn>
  <rdn rId="0" localSheetId="10" customView="1" name="Z_85BAD813_6002_444C_94EE_85A3EFC799A5_.wvu.FilterData" hidden="1" oldHidden="1">
    <formula>orig!$A$1:$AN$198</formula>
  </rdn>
  <rdn rId="0" localSheetId="11" customView="1" name="Z_85BAD813_6002_444C_94EE_85A3EFC799A5_.wvu.Cols" hidden="1" oldHidden="1">
    <formula>'1-10'!$B:$B</formula>
  </rdn>
  <rdn rId="0" localSheetId="11" customView="1" name="Z_85BAD813_6002_444C_94EE_85A3EFC799A5_.wvu.FilterData" hidden="1" oldHidden="1">
    <formula>'1-10'!$A$1:$AY$100</formula>
  </rdn>
  <rdn rId="0" localSheetId="12" customView="1" name="Z_85BAD813_6002_444C_94EE_85A3EFC799A5_.wvu.Rows" hidden="1" oldHidden="1">
    <formula>'new veh 2012'!$96:$97</formula>
  </rdn>
  <rdn rId="0" localSheetId="12" customView="1" name="Z_85BAD813_6002_444C_94EE_85A3EFC799A5_.wvu.FilterData" hidden="1" oldHidden="1">
    <formula>'new veh 2012'!$A$1:$J$95</formula>
  </rdn>
  <rdn rId="0" localSheetId="14" customView="1" name="Z_85BAD813_6002_444C_94EE_85A3EFC799A5_.wvu.FilterData" hidden="1" oldHidden="1">
    <formula>stbk!$A$1:$G$199</formula>
  </rdn>
  <rcv guid="{85BAD813-6002-444C-94EE-85A3EFC799A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indexed="45"/>
  </sheetPr>
  <dimension ref="A1:T127"/>
  <sheetViews>
    <sheetView zoomScaleSheetLayoutView="100" workbookViewId="0">
      <pane xSplit="3" ySplit="3" topLeftCell="D20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9.140625" defaultRowHeight="11.25" x14ac:dyDescent="0.2"/>
  <cols>
    <col min="1" max="1" width="21" style="2" customWidth="1"/>
    <col min="2" max="2" width="8.7109375" style="2" bestFit="1" customWidth="1"/>
    <col min="3" max="3" width="4.42578125" style="6" bestFit="1" customWidth="1"/>
    <col min="4" max="4" width="7.85546875" style="17" bestFit="1" customWidth="1"/>
    <col min="5" max="5" width="11.28515625" style="2" bestFit="1" customWidth="1"/>
    <col min="6" max="6" width="10.7109375" style="2" customWidth="1"/>
    <col min="7" max="12" width="11.28515625" style="2" bestFit="1" customWidth="1"/>
    <col min="13" max="13" width="13.140625" style="2" bestFit="1" customWidth="1"/>
    <col min="14" max="14" width="11.28515625" style="2" bestFit="1" customWidth="1"/>
    <col min="15" max="15" width="13.140625" style="2" bestFit="1" customWidth="1"/>
    <col min="16" max="16" width="8.28515625" style="15" hidden="1" customWidth="1"/>
    <col min="17" max="17" width="7.85546875" style="29" bestFit="1" customWidth="1"/>
    <col min="18" max="16384" width="9.140625" style="2"/>
  </cols>
  <sheetData>
    <row r="1" spans="1:20" x14ac:dyDescent="0.2">
      <c r="A1" s="18" t="s">
        <v>1510</v>
      </c>
      <c r="C1" s="55"/>
      <c r="D1" s="17" t="s">
        <v>1490</v>
      </c>
      <c r="G1" s="37">
        <f>5300*(1+CALC!$A$2)</f>
        <v>3842.5</v>
      </c>
      <c r="H1" s="37">
        <f>6000*(1+CALC!$A$2)</f>
        <v>4350</v>
      </c>
    </row>
    <row r="3" spans="1:20" s="96" customFormat="1" ht="33" customHeight="1" x14ac:dyDescent="0.2">
      <c r="A3" s="325" t="s">
        <v>1</v>
      </c>
      <c r="B3" s="325" t="s">
        <v>0</v>
      </c>
      <c r="C3" s="325" t="s">
        <v>2</v>
      </c>
      <c r="D3" s="326" t="s">
        <v>3</v>
      </c>
      <c r="E3" s="327" t="s">
        <v>177</v>
      </c>
      <c r="F3" s="327" t="s">
        <v>1501</v>
      </c>
      <c r="G3" s="327" t="s">
        <v>178</v>
      </c>
      <c r="H3" s="327" t="s">
        <v>179</v>
      </c>
      <c r="I3" s="327" t="s">
        <v>184</v>
      </c>
      <c r="J3" s="327" t="s">
        <v>180</v>
      </c>
      <c r="K3" s="327" t="s">
        <v>181</v>
      </c>
      <c r="L3" s="327" t="s">
        <v>235</v>
      </c>
      <c r="M3" s="328" t="s">
        <v>12</v>
      </c>
      <c r="N3" s="327" t="s">
        <v>183</v>
      </c>
      <c r="O3" s="327" t="s">
        <v>182</v>
      </c>
      <c r="P3" s="329" t="s">
        <v>85</v>
      </c>
      <c r="Q3" s="329" t="s">
        <v>11</v>
      </c>
    </row>
    <row r="4" spans="1:20" s="10" customFormat="1" ht="17.25" customHeight="1" x14ac:dyDescent="0.2">
      <c r="A4" s="63"/>
      <c r="B4" s="63"/>
      <c r="C4" s="87"/>
      <c r="D4" s="88"/>
      <c r="E4" s="90"/>
      <c r="F4" s="90"/>
      <c r="G4" s="90"/>
      <c r="H4" s="90"/>
      <c r="I4" s="90"/>
      <c r="J4" s="90"/>
      <c r="K4" s="90"/>
      <c r="L4" s="90"/>
      <c r="M4" s="63"/>
      <c r="N4" s="90"/>
      <c r="O4" s="90"/>
      <c r="P4" s="24"/>
      <c r="Q4" s="44"/>
    </row>
    <row r="5" spans="1:20" ht="12" thickBot="1" x14ac:dyDescent="0.25"/>
    <row r="6" spans="1:20" ht="12" thickBot="1" x14ac:dyDescent="0.25">
      <c r="A6" s="330" t="s">
        <v>10</v>
      </c>
      <c r="B6" s="331" t="s">
        <v>285</v>
      </c>
      <c r="D6" s="568" t="s">
        <v>672</v>
      </c>
      <c r="E6" s="569"/>
      <c r="F6" s="570"/>
    </row>
    <row r="7" spans="1:20" x14ac:dyDescent="0.2">
      <c r="J7" s="9"/>
      <c r="Q7" s="21"/>
    </row>
    <row r="8" spans="1:20" s="9" customFormat="1" x14ac:dyDescent="0.2">
      <c r="A8" s="61" t="str">
        <f>+'1-10'!C14</f>
        <v>ISUZU KB200i 2x4 [003]</v>
      </c>
      <c r="B8" s="61" t="s">
        <v>574</v>
      </c>
      <c r="C8" s="54">
        <v>613</v>
      </c>
      <c r="D8" s="46">
        <v>20592</v>
      </c>
      <c r="E8" s="131">
        <f>+D8/P8*(CALC!$A$4)</f>
        <v>34938.706256627782</v>
      </c>
      <c r="F8" s="37">
        <f>250*12</f>
        <v>3000</v>
      </c>
      <c r="G8" s="37">
        <f>5500*(1+CALC!A2)</f>
        <v>3987.5</v>
      </c>
      <c r="H8" s="37">
        <f>58000</f>
        <v>58000</v>
      </c>
      <c r="I8" s="37">
        <f>15393.84</f>
        <v>15393.84</v>
      </c>
      <c r="J8" s="37"/>
      <c r="K8" s="37">
        <f>800</f>
        <v>800</v>
      </c>
      <c r="L8" s="37"/>
      <c r="M8" s="37">
        <f>SUM(E8:L8)</f>
        <v>116120.04625662777</v>
      </c>
      <c r="N8" s="37">
        <f>M8/CALC!$A$8*CALC!$A$6</f>
        <v>4418.9064924569302</v>
      </c>
      <c r="O8" s="37">
        <f>+M8+N8</f>
        <v>120538.9527490847</v>
      </c>
      <c r="P8" s="48">
        <v>9.43</v>
      </c>
      <c r="Q8" s="49"/>
    </row>
    <row r="9" spans="1:20" s="9" customFormat="1" x14ac:dyDescent="0.2">
      <c r="A9" s="61" t="str">
        <f>+'1-10'!C28</f>
        <v>ISUZU KB200i 2x4  [006]</v>
      </c>
      <c r="B9" s="61" t="s">
        <v>588</v>
      </c>
      <c r="C9" s="54">
        <v>627</v>
      </c>
      <c r="D9" s="46">
        <v>23284</v>
      </c>
      <c r="E9" s="131">
        <f>+D9/P9*(CALC!$A$4)</f>
        <v>41671.588366890384</v>
      </c>
      <c r="F9" s="37">
        <v>3000</v>
      </c>
      <c r="G9" s="37">
        <f>5500*(1+CALC!$A$2)</f>
        <v>3987.5</v>
      </c>
      <c r="H9" s="37">
        <f>58000</f>
        <v>58000</v>
      </c>
      <c r="I9" s="37">
        <f>15431.33</f>
        <v>15431.33</v>
      </c>
      <c r="J9" s="37"/>
      <c r="K9" s="37">
        <f>800</f>
        <v>800</v>
      </c>
      <c r="L9" s="37"/>
      <c r="M9" s="37">
        <f>SUM(E9:L9)</f>
        <v>122890.41836689039</v>
      </c>
      <c r="N9" s="37">
        <f>M9/CALC!$A$8*CALC!$A$6</f>
        <v>4676.5505620112099</v>
      </c>
      <c r="O9" s="37">
        <f>+M9+N9</f>
        <v>127566.9689289016</v>
      </c>
      <c r="P9" s="48">
        <v>8.94</v>
      </c>
      <c r="Q9" s="49"/>
    </row>
    <row r="10" spans="1:20" x14ac:dyDescent="0.2">
      <c r="A10" s="12"/>
      <c r="B10" s="12"/>
      <c r="C10" s="19"/>
      <c r="D10" s="8"/>
      <c r="E10" s="27"/>
      <c r="F10" s="13"/>
      <c r="G10" s="13"/>
      <c r="H10" s="13"/>
      <c r="I10" s="13"/>
      <c r="J10" s="37"/>
      <c r="K10" s="13"/>
      <c r="L10" s="13"/>
      <c r="M10" s="13"/>
      <c r="N10" s="13"/>
      <c r="O10" s="13"/>
      <c r="P10" s="31"/>
      <c r="Q10" s="21"/>
    </row>
    <row r="11" spans="1:20" s="18" customFormat="1" x14ac:dyDescent="0.2">
      <c r="A11" s="35"/>
      <c r="B11" s="4" t="s">
        <v>14</v>
      </c>
      <c r="C11" s="26"/>
      <c r="D11" s="16">
        <f t="shared" ref="D11:O11" si="0">SUM(D8:D10)</f>
        <v>43876</v>
      </c>
      <c r="E11" s="56">
        <f t="shared" si="0"/>
        <v>76610.294623518159</v>
      </c>
      <c r="F11" s="56">
        <f t="shared" si="0"/>
        <v>6000</v>
      </c>
      <c r="G11" s="56">
        <f t="shared" si="0"/>
        <v>7975</v>
      </c>
      <c r="H11" s="56">
        <f t="shared" si="0"/>
        <v>116000</v>
      </c>
      <c r="I11" s="56">
        <f t="shared" si="0"/>
        <v>30825.17</v>
      </c>
      <c r="J11" s="56">
        <f t="shared" si="0"/>
        <v>0</v>
      </c>
      <c r="K11" s="56">
        <f t="shared" si="0"/>
        <v>1600</v>
      </c>
      <c r="L11" s="56"/>
      <c r="M11" s="56">
        <f t="shared" si="0"/>
        <v>239010.46462351817</v>
      </c>
      <c r="N11" s="56">
        <f t="shared" si="0"/>
        <v>9095.457054468141</v>
      </c>
      <c r="O11" s="56">
        <f t="shared" si="0"/>
        <v>248105.92167798628</v>
      </c>
      <c r="P11" s="33"/>
      <c r="Q11" s="135">
        <f>(+O11/D11)</f>
        <v>5.654706939511037</v>
      </c>
      <c r="T11" s="18">
        <f>Q11*D11</f>
        <v>248105.92167798625</v>
      </c>
    </row>
    <row r="12" spans="1:20" s="18" customFormat="1" ht="12" thickBot="1" x14ac:dyDescent="0.25">
      <c r="A12" s="35"/>
      <c r="B12" s="35"/>
      <c r="C12" s="39"/>
      <c r="D12" s="40"/>
      <c r="E12" s="34"/>
      <c r="F12" s="41"/>
      <c r="G12" s="41"/>
      <c r="H12" s="41"/>
      <c r="I12" s="41"/>
      <c r="J12" s="24"/>
      <c r="K12" s="41"/>
      <c r="L12" s="41"/>
      <c r="M12" s="41"/>
      <c r="N12" s="41"/>
      <c r="O12" s="41"/>
      <c r="P12" s="41"/>
      <c r="Q12" s="36"/>
    </row>
    <row r="13" spans="1:20" ht="12" thickBot="1" x14ac:dyDescent="0.25">
      <c r="A13" s="330" t="s">
        <v>10</v>
      </c>
      <c r="B13" s="331" t="s">
        <v>473</v>
      </c>
      <c r="D13" s="568" t="s">
        <v>252</v>
      </c>
      <c r="E13" s="569"/>
      <c r="F13" s="570"/>
      <c r="J13" s="9"/>
      <c r="Q13" s="21"/>
    </row>
    <row r="14" spans="1:20" x14ac:dyDescent="0.2">
      <c r="J14" s="9"/>
      <c r="Q14" s="21"/>
    </row>
    <row r="15" spans="1:20" s="9" customFormat="1" x14ac:dyDescent="0.2">
      <c r="A15" s="12" t="str">
        <f>+'1-10'!C50</f>
        <v>TOYOTA QUANTUM [006]</v>
      </c>
      <c r="B15" s="61" t="s">
        <v>597</v>
      </c>
      <c r="C15" s="54">
        <v>649</v>
      </c>
      <c r="D15" s="46">
        <v>10000</v>
      </c>
      <c r="E15" s="131">
        <f>+D15/P15*(CALC!$A$4)</f>
        <v>22857.142857142859</v>
      </c>
      <c r="F15" s="37">
        <v>3000</v>
      </c>
      <c r="G15" s="37">
        <f>5300*(1+CALC!$A$2)</f>
        <v>3842.5</v>
      </c>
      <c r="H15" s="37">
        <f>53000</f>
        <v>53000</v>
      </c>
      <c r="I15" s="37">
        <f>30882.57</f>
        <v>30882.57</v>
      </c>
      <c r="J15" s="37"/>
      <c r="K15" s="37">
        <f>1000</f>
        <v>1000</v>
      </c>
      <c r="L15" s="37"/>
      <c r="M15" s="37">
        <f>SUM(E15:L15)</f>
        <v>114582.21285714285</v>
      </c>
      <c r="N15" s="37">
        <f>M15/CALC!$A$8*CALC!$A$6</f>
        <v>4360.3847969153803</v>
      </c>
      <c r="O15" s="37">
        <f>+M15+N15</f>
        <v>118942.59765405823</v>
      </c>
      <c r="P15" s="48">
        <v>7</v>
      </c>
      <c r="Q15" s="49"/>
    </row>
    <row r="16" spans="1:20" s="9" customFormat="1" x14ac:dyDescent="0.2">
      <c r="A16" s="12" t="str">
        <f>+'1-10'!C51</f>
        <v>TOYOTA QUANTUM [003]</v>
      </c>
      <c r="B16" s="61" t="s">
        <v>1500</v>
      </c>
      <c r="C16" s="54">
        <v>650</v>
      </c>
      <c r="D16" s="46">
        <v>12000</v>
      </c>
      <c r="E16" s="131">
        <f>+D16/P16*(CALC!$A$4)</f>
        <v>27428.571428571428</v>
      </c>
      <c r="F16" s="37">
        <v>3000</v>
      </c>
      <c r="G16" s="37">
        <f>5300*(1+CALC!$A$2)</f>
        <v>3842.5</v>
      </c>
      <c r="H16" s="37">
        <f>53000</f>
        <v>53000</v>
      </c>
      <c r="I16" s="566">
        <v>30882.57</v>
      </c>
      <c r="J16" s="37"/>
      <c r="K16" s="37">
        <f>1000</f>
        <v>1000</v>
      </c>
      <c r="L16" s="37"/>
      <c r="M16" s="37">
        <f>SUM(E16:L16)</f>
        <v>119153.64142857143</v>
      </c>
      <c r="N16" s="37">
        <f>M16/CALC!$A$8*CALC!$A$6</f>
        <v>4534.3488629427475</v>
      </c>
      <c r="O16" s="37">
        <f>+M16+N16</f>
        <v>123687.99029151417</v>
      </c>
      <c r="P16" s="48">
        <v>7</v>
      </c>
      <c r="Q16" s="49"/>
    </row>
    <row r="17" spans="1:17" x14ac:dyDescent="0.2">
      <c r="A17" s="12"/>
      <c r="B17" s="12"/>
      <c r="C17" s="19"/>
      <c r="D17" s="8"/>
      <c r="E17" s="57"/>
      <c r="F17" s="13"/>
      <c r="G17" s="13"/>
      <c r="H17" s="13"/>
      <c r="I17" s="13"/>
      <c r="J17" s="37"/>
      <c r="K17" s="13"/>
      <c r="L17" s="13"/>
      <c r="M17" s="13"/>
      <c r="N17" s="13"/>
      <c r="O17" s="13"/>
      <c r="P17" s="31"/>
      <c r="Q17" s="21"/>
    </row>
    <row r="18" spans="1:17" s="18" customFormat="1" x14ac:dyDescent="0.2">
      <c r="A18" s="35"/>
      <c r="B18" s="4" t="s">
        <v>14</v>
      </c>
      <c r="C18" s="26"/>
      <c r="D18" s="16">
        <f t="shared" ref="D18:O18" si="1">SUM(D15:D17)</f>
        <v>22000</v>
      </c>
      <c r="E18" s="56">
        <f t="shared" si="1"/>
        <v>50285.71428571429</v>
      </c>
      <c r="F18" s="56">
        <f t="shared" si="1"/>
        <v>6000</v>
      </c>
      <c r="G18" s="56">
        <f t="shared" si="1"/>
        <v>7685</v>
      </c>
      <c r="H18" s="56">
        <f t="shared" si="1"/>
        <v>106000</v>
      </c>
      <c r="I18" s="56">
        <f t="shared" si="1"/>
        <v>61765.14</v>
      </c>
      <c r="J18" s="56">
        <f t="shared" si="1"/>
        <v>0</v>
      </c>
      <c r="K18" s="56">
        <f t="shared" si="1"/>
        <v>2000</v>
      </c>
      <c r="L18" s="56"/>
      <c r="M18" s="56">
        <f t="shared" si="1"/>
        <v>233735.85428571427</v>
      </c>
      <c r="N18" s="56">
        <f t="shared" si="1"/>
        <v>8894.7336598581278</v>
      </c>
      <c r="O18" s="56">
        <f t="shared" si="1"/>
        <v>242630.58794557239</v>
      </c>
      <c r="P18" s="33"/>
      <c r="Q18" s="135">
        <f>(+O18/D18)</f>
        <v>11.028663088435108</v>
      </c>
    </row>
    <row r="19" spans="1:17" s="18" customFormat="1" ht="12" thickBot="1" x14ac:dyDescent="0.25">
      <c r="A19" s="35"/>
      <c r="B19" s="35"/>
      <c r="C19" s="39"/>
      <c r="D19" s="40"/>
      <c r="E19" s="34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36"/>
    </row>
    <row r="20" spans="1:17" ht="12" thickBot="1" x14ac:dyDescent="0.25">
      <c r="A20" s="330" t="s">
        <v>10</v>
      </c>
      <c r="B20" s="331" t="s">
        <v>474</v>
      </c>
      <c r="D20" s="568" t="s">
        <v>139</v>
      </c>
      <c r="E20" s="569"/>
      <c r="F20" s="570"/>
      <c r="J20" s="9"/>
      <c r="Q20" s="21"/>
    </row>
    <row r="21" spans="1:17" x14ac:dyDescent="0.2">
      <c r="J21" s="9"/>
      <c r="Q21" s="21"/>
    </row>
    <row r="22" spans="1:17" s="9" customFormat="1" x14ac:dyDescent="0.2">
      <c r="A22" s="61" t="str">
        <f>+'1-10'!C2</f>
        <v>CHEVROLET AVEO 1.6  [057]</v>
      </c>
      <c r="B22" s="61" t="s">
        <v>589</v>
      </c>
      <c r="C22" s="54">
        <v>601</v>
      </c>
      <c r="D22" s="46">
        <v>32576</v>
      </c>
      <c r="E22" s="62">
        <f>+D22/P22*(CALC!$A$4)</f>
        <v>65152</v>
      </c>
      <c r="F22" s="37">
        <v>3000</v>
      </c>
      <c r="G22" s="37">
        <f>5300*(1+CALC!$A$2)</f>
        <v>3842.5</v>
      </c>
      <c r="H22" s="37">
        <v>30000</v>
      </c>
      <c r="I22" s="37">
        <f>10474.94</f>
        <v>10474.94</v>
      </c>
      <c r="J22" s="37"/>
      <c r="K22" s="37">
        <v>600</v>
      </c>
      <c r="L22" s="37"/>
      <c r="M22" s="37">
        <f>SUM(E22:L22)</f>
        <v>113069.44</v>
      </c>
      <c r="N22" s="37">
        <f>M22/CALC!$A$8*CALC!$A$6</f>
        <v>4302.8167712769164</v>
      </c>
      <c r="O22" s="37">
        <f>+M22+N22</f>
        <v>117372.25677127692</v>
      </c>
      <c r="P22" s="48">
        <v>8</v>
      </c>
      <c r="Q22" s="49"/>
    </row>
    <row r="23" spans="1:17" x14ac:dyDescent="0.2">
      <c r="A23" s="12"/>
      <c r="B23" s="12"/>
      <c r="C23" s="19"/>
      <c r="D23" s="8"/>
      <c r="E23" s="57"/>
      <c r="F23" s="13"/>
      <c r="G23" s="13"/>
      <c r="H23" s="13"/>
      <c r="I23" s="13"/>
      <c r="J23" s="37"/>
      <c r="K23" s="13"/>
      <c r="L23" s="13"/>
      <c r="M23" s="13"/>
      <c r="N23" s="13"/>
      <c r="O23" s="13"/>
      <c r="P23" s="31"/>
      <c r="Q23" s="21"/>
    </row>
    <row r="24" spans="1:17" s="18" customFormat="1" x14ac:dyDescent="0.2">
      <c r="A24" s="35"/>
      <c r="B24" s="4" t="s">
        <v>14</v>
      </c>
      <c r="C24" s="26"/>
      <c r="D24" s="16">
        <f t="shared" ref="D24:M24" si="2">SUM(D22:D23)</f>
        <v>32576</v>
      </c>
      <c r="E24" s="56">
        <f t="shared" si="2"/>
        <v>65152</v>
      </c>
      <c r="F24" s="14">
        <f t="shared" si="2"/>
        <v>3000</v>
      </c>
      <c r="G24" s="14">
        <f t="shared" si="2"/>
        <v>3842.5</v>
      </c>
      <c r="H24" s="14">
        <f t="shared" si="2"/>
        <v>30000</v>
      </c>
      <c r="I24" s="14">
        <f t="shared" si="2"/>
        <v>10474.94</v>
      </c>
      <c r="J24" s="14">
        <f t="shared" si="2"/>
        <v>0</v>
      </c>
      <c r="K24" s="14">
        <f t="shared" si="2"/>
        <v>600</v>
      </c>
      <c r="L24" s="14"/>
      <c r="M24" s="14">
        <f t="shared" si="2"/>
        <v>113069.44</v>
      </c>
      <c r="N24" s="14">
        <f>+N22</f>
        <v>4302.8167712769164</v>
      </c>
      <c r="O24" s="14">
        <f>+M24+N24</f>
        <v>117372.25677127692</v>
      </c>
      <c r="P24" s="33"/>
      <c r="Q24" s="135">
        <f>(+O24/D24)*(1+CALC!$A$3)</f>
        <v>3.603028510906094</v>
      </c>
    </row>
    <row r="25" spans="1:17" s="18" customFormat="1" ht="12" thickBot="1" x14ac:dyDescent="0.25">
      <c r="A25" s="35"/>
      <c r="B25" s="35"/>
      <c r="C25" s="39"/>
      <c r="D25" s="40"/>
      <c r="E25" s="34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36"/>
    </row>
    <row r="26" spans="1:17" ht="12" thickBot="1" x14ac:dyDescent="0.25">
      <c r="A26" s="330" t="s">
        <v>10</v>
      </c>
      <c r="B26" s="331" t="s">
        <v>142</v>
      </c>
      <c r="D26" s="568" t="s">
        <v>256</v>
      </c>
      <c r="E26" s="569"/>
      <c r="F26" s="570"/>
      <c r="J26" s="9"/>
      <c r="Q26" s="21"/>
    </row>
    <row r="27" spans="1:17" x14ac:dyDescent="0.2">
      <c r="J27" s="9"/>
      <c r="Q27" s="21"/>
    </row>
    <row r="28" spans="1:17" s="549" customFormat="1" x14ac:dyDescent="0.2">
      <c r="A28" s="542" t="s">
        <v>600</v>
      </c>
      <c r="B28" s="542" t="s">
        <v>599</v>
      </c>
      <c r="C28" s="384">
        <v>600</v>
      </c>
      <c r="D28" s="543">
        <v>31380</v>
      </c>
      <c r="E28" s="544">
        <f>+D28/P28*(CALC!$A$4)</f>
        <v>70122.905027932953</v>
      </c>
      <c r="F28" s="545">
        <v>3000</v>
      </c>
      <c r="G28" s="545">
        <v>50000</v>
      </c>
      <c r="H28" s="545">
        <v>40000</v>
      </c>
      <c r="I28" s="545">
        <v>200000</v>
      </c>
      <c r="J28" s="545"/>
      <c r="K28" s="545">
        <f>1000*(1.05+CALC!$A$2)</f>
        <v>775</v>
      </c>
      <c r="L28" s="545"/>
      <c r="M28" s="545">
        <f>SUM(E28:L28)</f>
        <v>363897.90502793295</v>
      </c>
      <c r="N28" s="546">
        <f>M28/CALC!$A$8*CALC!$A$6</f>
        <v>13848.003570078037</v>
      </c>
      <c r="O28" s="545">
        <f>+M28+N28</f>
        <v>377745.90859801101</v>
      </c>
      <c r="P28" s="547">
        <v>7.16</v>
      </c>
      <c r="Q28" s="548"/>
    </row>
    <row r="29" spans="1:17" x14ac:dyDescent="0.2">
      <c r="A29" s="12"/>
      <c r="B29" s="12"/>
      <c r="C29" s="19"/>
      <c r="D29" s="8"/>
      <c r="E29" s="57"/>
      <c r="F29" s="13"/>
      <c r="G29" s="13"/>
      <c r="H29" s="13"/>
      <c r="I29" s="13"/>
      <c r="J29" s="37"/>
      <c r="K29" s="13"/>
      <c r="L29" s="13"/>
      <c r="M29" s="13"/>
      <c r="N29" s="13"/>
      <c r="O29" s="13"/>
      <c r="P29" s="31"/>
      <c r="Q29" s="21"/>
    </row>
    <row r="30" spans="1:17" s="18" customFormat="1" x14ac:dyDescent="0.2">
      <c r="A30" s="35"/>
      <c r="B30" s="4" t="s">
        <v>14</v>
      </c>
      <c r="C30" s="26"/>
      <c r="D30" s="16">
        <f t="shared" ref="D30:M30" si="3">SUM(D28:D29)</f>
        <v>31380</v>
      </c>
      <c r="E30" s="56">
        <f t="shared" si="3"/>
        <v>70122.905027932953</v>
      </c>
      <c r="F30" s="14">
        <f t="shared" si="3"/>
        <v>3000</v>
      </c>
      <c r="G30" s="14">
        <f t="shared" si="3"/>
        <v>50000</v>
      </c>
      <c r="H30" s="14">
        <f t="shared" si="3"/>
        <v>40000</v>
      </c>
      <c r="I30" s="14">
        <f t="shared" si="3"/>
        <v>200000</v>
      </c>
      <c r="J30" s="14">
        <f t="shared" si="3"/>
        <v>0</v>
      </c>
      <c r="K30" s="14">
        <f t="shared" si="3"/>
        <v>775</v>
      </c>
      <c r="L30" s="14"/>
      <c r="M30" s="14">
        <f t="shared" si="3"/>
        <v>363897.90502793295</v>
      </c>
      <c r="N30" s="14">
        <f>+N28</f>
        <v>13848.003570078037</v>
      </c>
      <c r="O30" s="14">
        <f>+M30+N30</f>
        <v>377745.90859801101</v>
      </c>
      <c r="P30" s="33"/>
      <c r="Q30" s="135">
        <f>(+O30/D30)*(1+CALC!$A$3)</f>
        <v>12.037791860994615</v>
      </c>
    </row>
    <row r="31" spans="1:17" s="18" customFormat="1" ht="12" thickBot="1" x14ac:dyDescent="0.25">
      <c r="A31" s="35"/>
      <c r="B31" s="35"/>
      <c r="C31" s="39"/>
      <c r="D31" s="40"/>
      <c r="E31" s="34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135"/>
    </row>
    <row r="32" spans="1:17" ht="12" thickBot="1" x14ac:dyDescent="0.25">
      <c r="A32" s="330" t="s">
        <v>10</v>
      </c>
      <c r="B32" s="331" t="s">
        <v>142</v>
      </c>
      <c r="D32" s="568" t="s">
        <v>256</v>
      </c>
      <c r="E32" s="569"/>
      <c r="F32" s="570"/>
      <c r="J32" s="9"/>
      <c r="Q32" s="21"/>
    </row>
    <row r="33" spans="1:17" x14ac:dyDescent="0.2">
      <c r="J33" s="9"/>
      <c r="Q33" s="21"/>
    </row>
    <row r="34" spans="1:17" s="9" customFormat="1" x14ac:dyDescent="0.2">
      <c r="A34" s="61" t="s">
        <v>1496</v>
      </c>
      <c r="B34" s="61" t="s">
        <v>1497</v>
      </c>
      <c r="C34" s="54">
        <v>700</v>
      </c>
      <c r="D34" s="46">
        <v>38000</v>
      </c>
      <c r="E34" s="131">
        <f>+D34/P34*(CALC!$A$4)</f>
        <v>65376.344086021498</v>
      </c>
      <c r="F34" s="37">
        <v>3000</v>
      </c>
      <c r="G34" s="479">
        <f>31000*(1+CALC!$A$2)</f>
        <v>22475</v>
      </c>
      <c r="H34" s="479">
        <v>50000</v>
      </c>
      <c r="I34" s="479">
        <f>69629.3</f>
        <v>69629.3</v>
      </c>
      <c r="J34" s="479"/>
      <c r="K34" s="479">
        <v>1000</v>
      </c>
      <c r="L34" s="479"/>
      <c r="M34" s="479">
        <f>SUM(E34:L34)</f>
        <v>211480.64408602152</v>
      </c>
      <c r="N34" s="480">
        <f>M34/CALC!$A$8*CALC!$A$6</f>
        <v>8047.8196599698194</v>
      </c>
      <c r="O34" s="479">
        <f>+M34+N34</f>
        <v>219528.46374599135</v>
      </c>
      <c r="P34" s="48">
        <v>9.3000000000000007</v>
      </c>
      <c r="Q34" s="49"/>
    </row>
    <row r="35" spans="1:17" x14ac:dyDescent="0.2">
      <c r="A35" s="12"/>
      <c r="B35" s="12"/>
      <c r="C35" s="19"/>
      <c r="D35" s="8"/>
      <c r="E35" s="57"/>
      <c r="F35" s="13"/>
      <c r="G35" s="13"/>
      <c r="H35" s="13"/>
      <c r="I35" s="13"/>
      <c r="J35" s="37"/>
      <c r="K35" s="13"/>
      <c r="L35" s="13"/>
      <c r="M35" s="13"/>
      <c r="N35" s="13"/>
      <c r="O35" s="13"/>
      <c r="P35" s="31"/>
      <c r="Q35" s="21"/>
    </row>
    <row r="36" spans="1:17" s="18" customFormat="1" x14ac:dyDescent="0.2">
      <c r="A36" s="35"/>
      <c r="B36" s="4" t="s">
        <v>14</v>
      </c>
      <c r="C36" s="26"/>
      <c r="D36" s="16">
        <f t="shared" ref="D36:K36" si="4">SUM(D34:D35)</f>
        <v>38000</v>
      </c>
      <c r="E36" s="56">
        <f t="shared" si="4"/>
        <v>65376.344086021498</v>
      </c>
      <c r="F36" s="14">
        <f t="shared" si="4"/>
        <v>3000</v>
      </c>
      <c r="G36" s="14">
        <f t="shared" si="4"/>
        <v>22475</v>
      </c>
      <c r="H36" s="14">
        <f t="shared" si="4"/>
        <v>50000</v>
      </c>
      <c r="I36" s="14">
        <f t="shared" si="4"/>
        <v>69629.3</v>
      </c>
      <c r="J36" s="14">
        <f t="shared" si="4"/>
        <v>0</v>
      </c>
      <c r="K36" s="14">
        <f t="shared" si="4"/>
        <v>1000</v>
      </c>
      <c r="L36" s="14"/>
      <c r="M36" s="14">
        <f t="shared" ref="M36" si="5">SUM(M34:M35)</f>
        <v>211480.64408602152</v>
      </c>
      <c r="N36" s="14">
        <f>+N34</f>
        <v>8047.8196599698194</v>
      </c>
      <c r="O36" s="14">
        <f>+M36+N36</f>
        <v>219528.46374599135</v>
      </c>
      <c r="P36" s="33"/>
      <c r="Q36" s="135">
        <f>(+O36/D36)*(1+CALC!$A$3)</f>
        <v>5.7770648354208252</v>
      </c>
    </row>
    <row r="37" spans="1:17" s="18" customFormat="1" x14ac:dyDescent="0.2">
      <c r="A37" s="35"/>
      <c r="B37" s="474"/>
      <c r="C37" s="475"/>
      <c r="D37" s="476"/>
      <c r="E37" s="477"/>
      <c r="F37" s="478"/>
      <c r="G37" s="478"/>
      <c r="H37" s="478"/>
      <c r="I37" s="478"/>
      <c r="J37" s="478"/>
      <c r="K37" s="478"/>
      <c r="L37" s="478"/>
      <c r="M37" s="478"/>
      <c r="N37" s="478"/>
      <c r="O37" s="478"/>
      <c r="P37" s="41"/>
      <c r="Q37" s="135"/>
    </row>
    <row r="38" spans="1:17" s="18" customFormat="1" ht="12" thickBot="1" x14ac:dyDescent="0.25">
      <c r="A38" s="35"/>
      <c r="B38" s="474"/>
      <c r="C38" s="475"/>
      <c r="D38" s="476"/>
      <c r="E38" s="477"/>
      <c r="F38" s="478"/>
      <c r="G38" s="478"/>
      <c r="H38" s="478"/>
      <c r="I38" s="478"/>
      <c r="J38" s="478"/>
      <c r="K38" s="478"/>
      <c r="L38" s="478"/>
      <c r="M38" s="478"/>
      <c r="N38" s="478"/>
      <c r="O38" s="478"/>
      <c r="P38" s="41"/>
      <c r="Q38" s="135"/>
    </row>
    <row r="39" spans="1:17" s="18" customFormat="1" ht="12" thickBot="1" x14ac:dyDescent="0.25">
      <c r="A39" s="42"/>
      <c r="B39" s="73"/>
      <c r="C39" s="74"/>
      <c r="D39" s="75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133"/>
      <c r="Q39" s="43"/>
    </row>
    <row r="40" spans="1:17" s="18" customFormat="1" ht="12" thickBot="1" x14ac:dyDescent="0.25">
      <c r="A40" s="42" t="s">
        <v>115</v>
      </c>
      <c r="B40" s="73" t="s">
        <v>14</v>
      </c>
      <c r="C40" s="74"/>
      <c r="D40" s="75">
        <f>+D8+D16</f>
        <v>32592</v>
      </c>
      <c r="E40" s="76">
        <f>+E8+E16</f>
        <v>62367.277685199209</v>
      </c>
      <c r="F40" s="76">
        <f t="shared" ref="F40:O40" si="6">+F8+F16</f>
        <v>6000</v>
      </c>
      <c r="G40" s="76">
        <f t="shared" si="6"/>
        <v>7830</v>
      </c>
      <c r="H40" s="76">
        <f t="shared" si="6"/>
        <v>111000</v>
      </c>
      <c r="I40" s="76">
        <f t="shared" si="6"/>
        <v>46276.41</v>
      </c>
      <c r="J40" s="76">
        <f t="shared" si="6"/>
        <v>0</v>
      </c>
      <c r="K40" s="76">
        <f t="shared" si="6"/>
        <v>1800</v>
      </c>
      <c r="L40" s="76">
        <f t="shared" si="6"/>
        <v>0</v>
      </c>
      <c r="M40" s="76">
        <f t="shared" si="6"/>
        <v>235273.6876851992</v>
      </c>
      <c r="N40" s="76">
        <f t="shared" si="6"/>
        <v>8953.2553553996768</v>
      </c>
      <c r="O40" s="76">
        <f t="shared" si="6"/>
        <v>244226.94304059888</v>
      </c>
      <c r="P40" s="44"/>
      <c r="Q40" s="43"/>
    </row>
    <row r="41" spans="1:17" s="18" customFormat="1" ht="12" thickBot="1" x14ac:dyDescent="0.25">
      <c r="A41" s="42" t="s">
        <v>116</v>
      </c>
      <c r="B41" s="73" t="s">
        <v>14</v>
      </c>
      <c r="C41" s="74"/>
      <c r="D41" s="75">
        <f>+D9+D15</f>
        <v>33284</v>
      </c>
      <c r="E41" s="76">
        <f>+E9+E15</f>
        <v>64528.731224033239</v>
      </c>
      <c r="F41" s="76">
        <f t="shared" ref="F41:O41" si="7">+F9+F15</f>
        <v>6000</v>
      </c>
      <c r="G41" s="76">
        <f t="shared" si="7"/>
        <v>7830</v>
      </c>
      <c r="H41" s="76">
        <f t="shared" si="7"/>
        <v>111000</v>
      </c>
      <c r="I41" s="76">
        <f t="shared" si="7"/>
        <v>46313.9</v>
      </c>
      <c r="J41" s="76">
        <f t="shared" si="7"/>
        <v>0</v>
      </c>
      <c r="K41" s="76">
        <f t="shared" si="7"/>
        <v>1800</v>
      </c>
      <c r="L41" s="76">
        <f t="shared" si="7"/>
        <v>0</v>
      </c>
      <c r="M41" s="76">
        <f t="shared" si="7"/>
        <v>237472.63122403325</v>
      </c>
      <c r="N41" s="76">
        <f t="shared" si="7"/>
        <v>9036.9353589265902</v>
      </c>
      <c r="O41" s="76">
        <f t="shared" si="7"/>
        <v>246509.56658295984</v>
      </c>
      <c r="P41" s="133"/>
      <c r="Q41" s="43"/>
    </row>
    <row r="42" spans="1:17" s="18" customFormat="1" ht="12" thickBot="1" x14ac:dyDescent="0.25">
      <c r="A42" s="42" t="s">
        <v>243</v>
      </c>
      <c r="B42" s="73" t="s">
        <v>14</v>
      </c>
      <c r="C42" s="74"/>
      <c r="D42" s="75">
        <f>+D24+D30+D36</f>
        <v>101956</v>
      </c>
      <c r="E42" s="76">
        <f>+E24+E30+E36</f>
        <v>200651.24911395446</v>
      </c>
      <c r="F42" s="76">
        <f t="shared" ref="F42:O42" si="8">+F24+F30+F36</f>
        <v>9000</v>
      </c>
      <c r="G42" s="76">
        <f t="shared" si="8"/>
        <v>76317.5</v>
      </c>
      <c r="H42" s="76">
        <f t="shared" si="8"/>
        <v>120000</v>
      </c>
      <c r="I42" s="76">
        <f t="shared" si="8"/>
        <v>280104.24</v>
      </c>
      <c r="J42" s="76">
        <f t="shared" si="8"/>
        <v>0</v>
      </c>
      <c r="K42" s="76">
        <f t="shared" si="8"/>
        <v>2375</v>
      </c>
      <c r="L42" s="76">
        <f t="shared" si="8"/>
        <v>0</v>
      </c>
      <c r="M42" s="76">
        <f t="shared" si="8"/>
        <v>688447.98911395448</v>
      </c>
      <c r="N42" s="76">
        <f t="shared" si="8"/>
        <v>26198.640001324773</v>
      </c>
      <c r="O42" s="76">
        <f t="shared" si="8"/>
        <v>714646.6291152793</v>
      </c>
      <c r="P42" s="43"/>
      <c r="Q42" s="43"/>
    </row>
    <row r="43" spans="1:17" x14ac:dyDescent="0.2">
      <c r="D43" s="17">
        <f>SUM(D40:D42)</f>
        <v>167832</v>
      </c>
      <c r="E43" s="17">
        <f t="shared" ref="E43:O43" si="9">SUM(E40:E42)</f>
        <v>327547.25802318694</v>
      </c>
      <c r="F43" s="17">
        <f t="shared" si="9"/>
        <v>21000</v>
      </c>
      <c r="G43" s="17">
        <f t="shared" si="9"/>
        <v>91977.5</v>
      </c>
      <c r="H43" s="17">
        <f t="shared" si="9"/>
        <v>342000</v>
      </c>
      <c r="I43" s="17">
        <f t="shared" si="9"/>
        <v>372694.55</v>
      </c>
      <c r="J43" s="17">
        <f t="shared" si="9"/>
        <v>0</v>
      </c>
      <c r="K43" s="17">
        <f t="shared" si="9"/>
        <v>5975</v>
      </c>
      <c r="L43" s="17">
        <f t="shared" si="9"/>
        <v>0</v>
      </c>
      <c r="M43" s="17">
        <f t="shared" si="9"/>
        <v>1161194.3080231869</v>
      </c>
      <c r="N43" s="17">
        <f t="shared" si="9"/>
        <v>44188.830715651042</v>
      </c>
      <c r="O43" s="17">
        <f t="shared" si="9"/>
        <v>1205383.138738838</v>
      </c>
    </row>
    <row r="44" spans="1:17" x14ac:dyDescent="0.2"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7" x14ac:dyDescent="0.2">
      <c r="D45" s="17">
        <f>+D11+D18+D24+D30+D36</f>
        <v>167832</v>
      </c>
      <c r="E45" s="17">
        <f>+E11+E18+E24+E30+E36</f>
        <v>327547.25802318688</v>
      </c>
      <c r="F45" s="17">
        <f t="shared" ref="F45:O45" si="10">+F11+F18+F24+F30+F36</f>
        <v>21000</v>
      </c>
      <c r="G45" s="17">
        <f t="shared" si="10"/>
        <v>91977.5</v>
      </c>
      <c r="H45" s="17">
        <f t="shared" si="10"/>
        <v>342000</v>
      </c>
      <c r="I45" s="17">
        <f t="shared" si="10"/>
        <v>372694.55</v>
      </c>
      <c r="J45" s="17">
        <f t="shared" si="10"/>
        <v>0</v>
      </c>
      <c r="K45" s="17">
        <f t="shared" si="10"/>
        <v>5975</v>
      </c>
      <c r="L45" s="17">
        <f t="shared" si="10"/>
        <v>0</v>
      </c>
      <c r="M45" s="17">
        <f t="shared" si="10"/>
        <v>1161194.3080231869</v>
      </c>
      <c r="N45" s="17">
        <f t="shared" si="10"/>
        <v>44188.830715651042</v>
      </c>
      <c r="O45" s="17">
        <f t="shared" si="10"/>
        <v>1205383.138738838</v>
      </c>
    </row>
    <row r="46" spans="1:17" x14ac:dyDescent="0.2"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127" spans="6:6" x14ac:dyDescent="0.2">
      <c r="F127" s="2">
        <f>SUM(F118:F126)</f>
        <v>0</v>
      </c>
    </row>
  </sheetData>
  <customSheetViews>
    <customSheetView guid="{85BAD813-6002-444C-94EE-85A3EFC799A5}" showPageBreaks="1" printArea="1" hiddenColumns="1">
      <pane xSplit="3" ySplit="3" topLeftCell="D20" activePane="bottomRight" state="frozen"/>
      <selection pane="bottomRight" activeCell="A2" sqref="A2"/>
      <pageMargins left="0" right="0" top="0" bottom="0" header="0.31496062992125984" footer="0.31496062992125984"/>
      <pageSetup paperSize="9" scale="85" orientation="landscape" r:id="rId1"/>
      <headerFooter alignWithMargins="0"/>
    </customSheetView>
    <customSheetView guid="{DF69299D-7752-4436-A45D-28F739CEE21B}" showPageBreaks="1" printArea="1" hiddenColumns="1">
      <pane xSplit="3" ySplit="3" topLeftCell="D20" activePane="bottomRight" state="frozen"/>
      <selection pane="bottomRight" activeCell="A42" sqref="A42"/>
      <pageMargins left="0" right="0" top="0" bottom="0" header="0.31496062992125984" footer="0.31496062992125984"/>
      <pageSetup paperSize="9" scale="85" orientation="landscape" r:id="rId2"/>
      <headerFooter alignWithMargins="0"/>
    </customSheetView>
    <customSheetView guid="{6C0BD6A7-6718-429D-82D9-D2FE0341EA2C}" showPageBreaks="1" printArea="1" hiddenColumns="1">
      <pane xSplit="3" ySplit="3" topLeftCell="D25" activePane="bottomRight" state="frozen"/>
      <selection pane="bottomRight" activeCell="F43" sqref="F43"/>
      <pageMargins left="0" right="0" top="0" bottom="0" header="0.31496062992125984" footer="0.31496062992125984"/>
      <pageSetup paperSize="9" scale="85" orientation="landscape" r:id="rId3"/>
      <headerFooter alignWithMargins="0"/>
    </customSheetView>
    <customSheetView guid="{594C4AB0-8D5F-4373-9663-410F4413FE3A}" showPageBreaks="1" printArea="1" hiddenColumns="1">
      <pane xSplit="3" ySplit="3" topLeftCell="D13" activePane="bottomRight" state="frozen"/>
      <selection pane="bottomRight" activeCell="I3" sqref="I3"/>
      <pageMargins left="0" right="0" top="0" bottom="0" header="0.31496062992125984" footer="0.31496062992125984"/>
      <pageSetup paperSize="9" scale="85" orientation="landscape" r:id="rId4"/>
      <headerFooter alignWithMargins="0"/>
    </customSheetView>
  </customSheetViews>
  <mergeCells count="5">
    <mergeCell ref="D6:F6"/>
    <mergeCell ref="D13:F13"/>
    <mergeCell ref="D26:F26"/>
    <mergeCell ref="D20:F20"/>
    <mergeCell ref="D32:F32"/>
  </mergeCells>
  <phoneticPr fontId="0" type="noConversion"/>
  <pageMargins left="0" right="0" top="0" bottom="0" header="0.31496062992125984" footer="0.31496062992125984"/>
  <pageSetup paperSize="9" scale="85" orientation="landscape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/>
  <dimension ref="A1:H198"/>
  <sheetViews>
    <sheetView zoomScale="90" zoomScaleNormal="90" workbookViewId="0">
      <pane ySplit="2" topLeftCell="A162" activePane="bottomLeft" state="frozen"/>
      <selection pane="bottomLeft" activeCell="G210" sqref="G210"/>
    </sheetView>
  </sheetViews>
  <sheetFormatPr defaultColWidth="9.140625" defaultRowHeight="11.25" x14ac:dyDescent="0.2"/>
  <cols>
    <col min="1" max="1" width="9.7109375" style="2" bestFit="1" customWidth="1"/>
    <col min="2" max="2" width="24" style="2" bestFit="1" customWidth="1"/>
    <col min="3" max="3" width="5.85546875" style="6" bestFit="1" customWidth="1"/>
    <col min="4" max="4" width="6.28515625" style="2" bestFit="1" customWidth="1"/>
    <col min="5" max="5" width="7" style="2" bestFit="1" customWidth="1"/>
    <col min="6" max="6" width="17.42578125" style="2" bestFit="1" customWidth="1"/>
    <col min="7" max="7" width="19.28515625" style="2" bestFit="1" customWidth="1"/>
    <col min="8" max="8" width="18.42578125" style="2" bestFit="1" customWidth="1"/>
    <col min="9" max="16384" width="9.140625" style="2"/>
  </cols>
  <sheetData>
    <row r="1" spans="1:8" ht="12" thickBot="1" x14ac:dyDescent="0.25">
      <c r="A1" s="369" t="s">
        <v>696</v>
      </c>
    </row>
    <row r="2" spans="1:8" ht="12" thickBot="1" x14ac:dyDescent="0.25">
      <c r="A2" s="370" t="s">
        <v>594</v>
      </c>
      <c r="B2" s="371" t="s">
        <v>1</v>
      </c>
      <c r="C2" s="372"/>
      <c r="D2" s="372" t="s">
        <v>2</v>
      </c>
      <c r="E2" s="372" t="s">
        <v>595</v>
      </c>
      <c r="F2" s="371" t="s">
        <v>591</v>
      </c>
      <c r="G2" s="371" t="s">
        <v>592</v>
      </c>
      <c r="H2" s="373" t="s">
        <v>593</v>
      </c>
    </row>
    <row r="3" spans="1:8" s="6" customFormat="1" ht="17.45" customHeight="1" x14ac:dyDescent="0.2">
      <c r="A3" s="374" t="s">
        <v>697</v>
      </c>
      <c r="B3" s="375" t="s">
        <v>698</v>
      </c>
      <c r="C3" s="376" t="s">
        <v>699</v>
      </c>
      <c r="D3" s="377">
        <v>9</v>
      </c>
      <c r="E3" s="376" t="s">
        <v>700</v>
      </c>
      <c r="F3" s="378" t="s">
        <v>701</v>
      </c>
      <c r="G3" s="378" t="s">
        <v>702</v>
      </c>
      <c r="H3" s="379" t="s">
        <v>703</v>
      </c>
    </row>
    <row r="4" spans="1:8" ht="13.15" customHeight="1" x14ac:dyDescent="0.2">
      <c r="A4" s="380" t="s">
        <v>704</v>
      </c>
      <c r="B4" s="12" t="s">
        <v>705</v>
      </c>
      <c r="C4" s="19" t="s">
        <v>699</v>
      </c>
      <c r="D4" s="381">
        <v>12</v>
      </c>
      <c r="E4" s="19" t="s">
        <v>700</v>
      </c>
      <c r="F4" s="12" t="s">
        <v>706</v>
      </c>
      <c r="G4" s="12" t="s">
        <v>707</v>
      </c>
      <c r="H4" s="382" t="s">
        <v>708</v>
      </c>
    </row>
    <row r="5" spans="1:8" ht="13.15" customHeight="1" x14ac:dyDescent="0.2">
      <c r="A5" s="380" t="s">
        <v>709</v>
      </c>
      <c r="B5" s="12" t="s">
        <v>710</v>
      </c>
      <c r="C5" s="19" t="s">
        <v>699</v>
      </c>
      <c r="D5" s="383">
        <v>15</v>
      </c>
      <c r="E5" s="19" t="s">
        <v>711</v>
      </c>
      <c r="F5" s="12" t="s">
        <v>712</v>
      </c>
      <c r="G5" s="12" t="s">
        <v>713</v>
      </c>
      <c r="H5" s="382" t="s">
        <v>714</v>
      </c>
    </row>
    <row r="6" spans="1:8" ht="13.15" customHeight="1" x14ac:dyDescent="0.2">
      <c r="A6" s="380" t="s">
        <v>715</v>
      </c>
      <c r="B6" s="12" t="s">
        <v>716</v>
      </c>
      <c r="C6" s="19" t="s">
        <v>717</v>
      </c>
      <c r="D6" s="383">
        <v>16</v>
      </c>
      <c r="E6" s="19" t="s">
        <v>718</v>
      </c>
      <c r="F6" s="12"/>
      <c r="G6" s="53" t="s">
        <v>719</v>
      </c>
      <c r="H6" s="382" t="s">
        <v>720</v>
      </c>
    </row>
    <row r="7" spans="1:8" ht="13.15" customHeight="1" x14ac:dyDescent="0.2">
      <c r="A7" s="380" t="s">
        <v>721</v>
      </c>
      <c r="B7" s="12" t="s">
        <v>38</v>
      </c>
      <c r="C7" s="19" t="s">
        <v>717</v>
      </c>
      <c r="D7" s="384">
        <v>17</v>
      </c>
      <c r="E7" s="19" t="s">
        <v>718</v>
      </c>
      <c r="F7" s="12"/>
      <c r="G7" s="53" t="s">
        <v>722</v>
      </c>
      <c r="H7" s="382" t="s">
        <v>723</v>
      </c>
    </row>
    <row r="8" spans="1:8" ht="13.15" customHeight="1" x14ac:dyDescent="0.2">
      <c r="A8" s="380" t="s">
        <v>724</v>
      </c>
      <c r="B8" s="12" t="s">
        <v>38</v>
      </c>
      <c r="C8" s="19" t="s">
        <v>717</v>
      </c>
      <c r="D8" s="383">
        <v>18</v>
      </c>
      <c r="E8" s="19" t="s">
        <v>718</v>
      </c>
      <c r="F8" s="12"/>
      <c r="G8" s="53" t="s">
        <v>725</v>
      </c>
      <c r="H8" s="382" t="s">
        <v>723</v>
      </c>
    </row>
    <row r="9" spans="1:8" ht="13.15" customHeight="1" x14ac:dyDescent="0.2">
      <c r="A9" s="380" t="s">
        <v>726</v>
      </c>
      <c r="B9" s="12" t="s">
        <v>727</v>
      </c>
      <c r="C9" s="19" t="s">
        <v>717</v>
      </c>
      <c r="D9" s="383">
        <v>19</v>
      </c>
      <c r="E9" s="19" t="s">
        <v>718</v>
      </c>
      <c r="F9" s="12"/>
      <c r="G9" s="12" t="s">
        <v>728</v>
      </c>
      <c r="H9" s="382" t="s">
        <v>729</v>
      </c>
    </row>
    <row r="10" spans="1:8" ht="13.15" customHeight="1" x14ac:dyDescent="0.2">
      <c r="A10" s="380" t="s">
        <v>730</v>
      </c>
      <c r="B10" s="12" t="s">
        <v>731</v>
      </c>
      <c r="C10" s="19" t="s">
        <v>717</v>
      </c>
      <c r="D10" s="381">
        <v>20</v>
      </c>
      <c r="E10" s="19" t="s">
        <v>700</v>
      </c>
      <c r="F10" s="12"/>
      <c r="G10" s="12" t="s">
        <v>732</v>
      </c>
      <c r="H10" s="382" t="s">
        <v>733</v>
      </c>
    </row>
    <row r="11" spans="1:8" ht="13.15" customHeight="1" x14ac:dyDescent="0.2">
      <c r="A11" s="380" t="s">
        <v>734</v>
      </c>
      <c r="B11" s="12" t="s">
        <v>38</v>
      </c>
      <c r="C11" s="19" t="s">
        <v>735</v>
      </c>
      <c r="D11" s="381">
        <v>21</v>
      </c>
      <c r="E11" s="19" t="s">
        <v>700</v>
      </c>
      <c r="F11" s="12"/>
      <c r="G11" s="53" t="s">
        <v>736</v>
      </c>
      <c r="H11" s="382" t="s">
        <v>737</v>
      </c>
    </row>
    <row r="12" spans="1:8" ht="13.15" customHeight="1" x14ac:dyDescent="0.2">
      <c r="A12" s="380" t="s">
        <v>738</v>
      </c>
      <c r="B12" s="12" t="s">
        <v>739</v>
      </c>
      <c r="C12" s="19" t="s">
        <v>740</v>
      </c>
      <c r="D12" s="381">
        <v>22</v>
      </c>
      <c r="E12" s="19" t="s">
        <v>700</v>
      </c>
      <c r="F12" s="12" t="s">
        <v>741</v>
      </c>
      <c r="G12" s="12" t="s">
        <v>742</v>
      </c>
      <c r="H12" s="382" t="s">
        <v>743</v>
      </c>
    </row>
    <row r="13" spans="1:8" ht="13.15" customHeight="1" x14ac:dyDescent="0.2">
      <c r="A13" s="380" t="s">
        <v>744</v>
      </c>
      <c r="B13" s="12" t="s">
        <v>745</v>
      </c>
      <c r="C13" s="19" t="s">
        <v>699</v>
      </c>
      <c r="D13" s="381">
        <v>24</v>
      </c>
      <c r="E13" s="19" t="s">
        <v>700</v>
      </c>
      <c r="F13" s="53" t="s">
        <v>746</v>
      </c>
      <c r="G13" s="12" t="s">
        <v>747</v>
      </c>
      <c r="H13" s="382" t="s">
        <v>748</v>
      </c>
    </row>
    <row r="14" spans="1:8" ht="13.15" customHeight="1" x14ac:dyDescent="0.2">
      <c r="A14" s="380" t="s">
        <v>749</v>
      </c>
      <c r="B14" s="12" t="s">
        <v>705</v>
      </c>
      <c r="C14" s="19" t="s">
        <v>699</v>
      </c>
      <c r="D14" s="381">
        <v>25</v>
      </c>
      <c r="E14" s="19" t="s">
        <v>700</v>
      </c>
      <c r="F14" s="12" t="s">
        <v>750</v>
      </c>
      <c r="G14" s="12" t="s">
        <v>751</v>
      </c>
      <c r="H14" s="382" t="s">
        <v>752</v>
      </c>
    </row>
    <row r="15" spans="1:8" ht="13.15" customHeight="1" x14ac:dyDescent="0.2">
      <c r="A15" s="380" t="s">
        <v>753</v>
      </c>
      <c r="B15" s="12" t="s">
        <v>754</v>
      </c>
      <c r="C15" s="19" t="s">
        <v>755</v>
      </c>
      <c r="D15" s="381">
        <v>27</v>
      </c>
      <c r="E15" s="19" t="s">
        <v>700</v>
      </c>
      <c r="F15" s="12" t="s">
        <v>756</v>
      </c>
      <c r="G15" s="53" t="s">
        <v>757</v>
      </c>
      <c r="H15" s="382" t="s">
        <v>758</v>
      </c>
    </row>
    <row r="16" spans="1:8" x14ac:dyDescent="0.2">
      <c r="A16" s="380" t="s">
        <v>759</v>
      </c>
      <c r="B16" s="12" t="s">
        <v>754</v>
      </c>
      <c r="C16" s="54" t="s">
        <v>755</v>
      </c>
      <c r="D16" s="383">
        <v>28</v>
      </c>
      <c r="E16" s="19" t="s">
        <v>760</v>
      </c>
      <c r="F16" s="12" t="s">
        <v>761</v>
      </c>
      <c r="G16" s="53" t="s">
        <v>762</v>
      </c>
      <c r="H16" s="382" t="s">
        <v>763</v>
      </c>
    </row>
    <row r="17" spans="1:8" ht="13.15" customHeight="1" x14ac:dyDescent="0.2">
      <c r="A17" s="380" t="s">
        <v>764</v>
      </c>
      <c r="B17" s="12" t="s">
        <v>765</v>
      </c>
      <c r="C17" s="19" t="s">
        <v>699</v>
      </c>
      <c r="D17" s="381">
        <v>31</v>
      </c>
      <c r="E17" s="19" t="s">
        <v>700</v>
      </c>
      <c r="F17" s="12" t="s">
        <v>766</v>
      </c>
      <c r="G17" s="12" t="s">
        <v>767</v>
      </c>
      <c r="H17" s="382" t="s">
        <v>768</v>
      </c>
    </row>
    <row r="18" spans="1:8" ht="13.15" customHeight="1" x14ac:dyDescent="0.2">
      <c r="A18" s="380" t="s">
        <v>769</v>
      </c>
      <c r="B18" s="12" t="s">
        <v>765</v>
      </c>
      <c r="C18" s="19" t="s">
        <v>699</v>
      </c>
      <c r="D18" s="383">
        <v>32</v>
      </c>
      <c r="E18" s="19" t="s">
        <v>770</v>
      </c>
      <c r="F18" s="12" t="s">
        <v>771</v>
      </c>
      <c r="G18" s="12" t="s">
        <v>772</v>
      </c>
      <c r="H18" s="382" t="s">
        <v>768</v>
      </c>
    </row>
    <row r="19" spans="1:8" ht="13.15" customHeight="1" x14ac:dyDescent="0.2">
      <c r="A19" s="380" t="s">
        <v>773</v>
      </c>
      <c r="B19" s="12" t="s">
        <v>765</v>
      </c>
      <c r="C19" s="19" t="s">
        <v>699</v>
      </c>
      <c r="D19" s="381">
        <v>34</v>
      </c>
      <c r="E19" s="19" t="s">
        <v>700</v>
      </c>
      <c r="F19" s="12" t="s">
        <v>774</v>
      </c>
      <c r="G19" s="12" t="s">
        <v>775</v>
      </c>
      <c r="H19" s="382" t="s">
        <v>776</v>
      </c>
    </row>
    <row r="20" spans="1:8" ht="13.15" customHeight="1" x14ac:dyDescent="0.2">
      <c r="A20" s="380" t="s">
        <v>777</v>
      </c>
      <c r="B20" s="12" t="s">
        <v>765</v>
      </c>
      <c r="C20" s="19" t="s">
        <v>699</v>
      </c>
      <c r="D20" s="381">
        <v>42</v>
      </c>
      <c r="E20" s="19" t="s">
        <v>700</v>
      </c>
      <c r="F20" s="12" t="s">
        <v>778</v>
      </c>
      <c r="G20" s="12" t="s">
        <v>779</v>
      </c>
      <c r="H20" s="382" t="s">
        <v>780</v>
      </c>
    </row>
    <row r="21" spans="1:8" ht="13.15" customHeight="1" x14ac:dyDescent="0.2">
      <c r="A21" s="380" t="s">
        <v>781</v>
      </c>
      <c r="B21" s="12" t="s">
        <v>782</v>
      </c>
      <c r="C21" s="54" t="s">
        <v>755</v>
      </c>
      <c r="D21" s="383">
        <v>44</v>
      </c>
      <c r="E21" s="19" t="s">
        <v>20</v>
      </c>
      <c r="F21" s="12" t="s">
        <v>783</v>
      </c>
      <c r="G21" s="12" t="s">
        <v>784</v>
      </c>
      <c r="H21" s="382" t="s">
        <v>785</v>
      </c>
    </row>
    <row r="22" spans="1:8" ht="13.15" customHeight="1" x14ac:dyDescent="0.2">
      <c r="A22" s="380" t="s">
        <v>786</v>
      </c>
      <c r="B22" s="12" t="s">
        <v>782</v>
      </c>
      <c r="C22" s="54" t="s">
        <v>755</v>
      </c>
      <c r="D22" s="383">
        <v>45</v>
      </c>
      <c r="E22" s="19" t="s">
        <v>20</v>
      </c>
      <c r="F22" s="53" t="s">
        <v>787</v>
      </c>
      <c r="G22" s="12" t="s">
        <v>788</v>
      </c>
      <c r="H22" s="382" t="s">
        <v>789</v>
      </c>
    </row>
    <row r="23" spans="1:8" x14ac:dyDescent="0.2">
      <c r="A23" s="380" t="s">
        <v>790</v>
      </c>
      <c r="B23" s="12" t="s">
        <v>782</v>
      </c>
      <c r="C23" s="54" t="s">
        <v>755</v>
      </c>
      <c r="D23" s="383">
        <v>46</v>
      </c>
      <c r="E23" s="19" t="s">
        <v>791</v>
      </c>
      <c r="F23" s="53" t="s">
        <v>792</v>
      </c>
      <c r="G23" s="12" t="s">
        <v>793</v>
      </c>
      <c r="H23" s="382" t="s">
        <v>794</v>
      </c>
    </row>
    <row r="24" spans="1:8" ht="13.15" customHeight="1" x14ac:dyDescent="0.2">
      <c r="A24" s="380" t="s">
        <v>795</v>
      </c>
      <c r="B24" s="12" t="s">
        <v>782</v>
      </c>
      <c r="C24" s="54" t="s">
        <v>755</v>
      </c>
      <c r="D24" s="383">
        <v>47</v>
      </c>
      <c r="E24" s="19" t="s">
        <v>20</v>
      </c>
      <c r="F24" s="12" t="s">
        <v>796</v>
      </c>
      <c r="G24" s="12" t="s">
        <v>797</v>
      </c>
      <c r="H24" s="382" t="s">
        <v>798</v>
      </c>
    </row>
    <row r="25" spans="1:8" ht="13.15" customHeight="1" x14ac:dyDescent="0.2">
      <c r="A25" s="380" t="s">
        <v>799</v>
      </c>
      <c r="B25" s="12" t="s">
        <v>782</v>
      </c>
      <c r="C25" s="54" t="s">
        <v>755</v>
      </c>
      <c r="D25" s="383">
        <v>48</v>
      </c>
      <c r="E25" s="19" t="s">
        <v>20</v>
      </c>
      <c r="F25" s="53" t="s">
        <v>800</v>
      </c>
      <c r="G25" s="12" t="s">
        <v>801</v>
      </c>
      <c r="H25" s="382" t="s">
        <v>798</v>
      </c>
    </row>
    <row r="26" spans="1:8" ht="13.15" customHeight="1" x14ac:dyDescent="0.2">
      <c r="A26" s="380" t="s">
        <v>802</v>
      </c>
      <c r="B26" s="12" t="s">
        <v>803</v>
      </c>
      <c r="C26" s="19" t="s">
        <v>804</v>
      </c>
      <c r="D26" s="383">
        <v>49</v>
      </c>
      <c r="E26" s="19" t="s">
        <v>20</v>
      </c>
      <c r="F26" s="12" t="s">
        <v>805</v>
      </c>
      <c r="G26" s="12" t="s">
        <v>806</v>
      </c>
      <c r="H26" s="382" t="s">
        <v>807</v>
      </c>
    </row>
    <row r="27" spans="1:8" ht="13.15" customHeight="1" x14ac:dyDescent="0.2">
      <c r="A27" s="380" t="s">
        <v>808</v>
      </c>
      <c r="B27" s="12" t="s">
        <v>809</v>
      </c>
      <c r="C27" s="54" t="s">
        <v>755</v>
      </c>
      <c r="D27" s="383">
        <v>50</v>
      </c>
      <c r="E27" s="19" t="s">
        <v>20</v>
      </c>
      <c r="F27" s="12" t="s">
        <v>810</v>
      </c>
      <c r="G27" s="12" t="s">
        <v>811</v>
      </c>
      <c r="H27" s="382" t="s">
        <v>812</v>
      </c>
    </row>
    <row r="28" spans="1:8" ht="13.15" customHeight="1" x14ac:dyDescent="0.2">
      <c r="A28" s="380" t="s">
        <v>813</v>
      </c>
      <c r="B28" s="12" t="s">
        <v>814</v>
      </c>
      <c r="C28" s="54" t="s">
        <v>755</v>
      </c>
      <c r="D28" s="385">
        <v>51</v>
      </c>
      <c r="E28" s="19" t="s">
        <v>20</v>
      </c>
      <c r="F28" s="12" t="s">
        <v>815</v>
      </c>
      <c r="G28" s="53" t="s">
        <v>816</v>
      </c>
      <c r="H28" s="382" t="s">
        <v>817</v>
      </c>
    </row>
    <row r="29" spans="1:8" ht="13.15" customHeight="1" x14ac:dyDescent="0.2">
      <c r="A29" s="380" t="s">
        <v>818</v>
      </c>
      <c r="B29" s="12" t="s">
        <v>819</v>
      </c>
      <c r="C29" s="54" t="s">
        <v>755</v>
      </c>
      <c r="D29" s="383">
        <v>52</v>
      </c>
      <c r="E29" s="19" t="s">
        <v>20</v>
      </c>
      <c r="F29" s="12" t="s">
        <v>820</v>
      </c>
      <c r="G29" s="12" t="s">
        <v>821</v>
      </c>
      <c r="H29" s="382" t="s">
        <v>822</v>
      </c>
    </row>
    <row r="30" spans="1:8" ht="13.15" customHeight="1" x14ac:dyDescent="0.2">
      <c r="A30" s="380" t="s">
        <v>823</v>
      </c>
      <c r="B30" s="12" t="s">
        <v>824</v>
      </c>
      <c r="C30" s="54" t="s">
        <v>755</v>
      </c>
      <c r="D30" s="383">
        <v>53</v>
      </c>
      <c r="E30" s="19" t="s">
        <v>20</v>
      </c>
      <c r="F30" s="12" t="s">
        <v>825</v>
      </c>
      <c r="G30" s="53" t="s">
        <v>826</v>
      </c>
      <c r="H30" s="382" t="s">
        <v>827</v>
      </c>
    </row>
    <row r="31" spans="1:8" ht="13.15" customHeight="1" x14ac:dyDescent="0.2">
      <c r="A31" s="380" t="s">
        <v>828</v>
      </c>
      <c r="B31" s="12" t="s">
        <v>91</v>
      </c>
      <c r="C31" s="19" t="s">
        <v>829</v>
      </c>
      <c r="D31" s="384">
        <v>54</v>
      </c>
      <c r="E31" s="19" t="s">
        <v>20</v>
      </c>
      <c r="F31" s="53" t="s">
        <v>830</v>
      </c>
      <c r="G31" s="53" t="s">
        <v>831</v>
      </c>
      <c r="H31" s="382" t="s">
        <v>832</v>
      </c>
    </row>
    <row r="32" spans="1:8" ht="13.15" customHeight="1" x14ac:dyDescent="0.2">
      <c r="A32" s="380" t="s">
        <v>833</v>
      </c>
      <c r="B32" s="12" t="s">
        <v>834</v>
      </c>
      <c r="C32" s="19" t="s">
        <v>804</v>
      </c>
      <c r="D32" s="383">
        <v>55</v>
      </c>
      <c r="E32" s="19" t="s">
        <v>20</v>
      </c>
      <c r="F32" s="12" t="s">
        <v>835</v>
      </c>
      <c r="G32" s="12" t="s">
        <v>836</v>
      </c>
      <c r="H32" s="382" t="s">
        <v>837</v>
      </c>
    </row>
    <row r="33" spans="1:8" ht="13.15" customHeight="1" x14ac:dyDescent="0.2">
      <c r="A33" s="380" t="s">
        <v>838</v>
      </c>
      <c r="B33" s="12" t="s">
        <v>716</v>
      </c>
      <c r="C33" s="19" t="s">
        <v>717</v>
      </c>
      <c r="D33" s="384">
        <v>56</v>
      </c>
      <c r="E33" s="19" t="s">
        <v>20</v>
      </c>
      <c r="F33" s="12"/>
      <c r="G33" s="53" t="s">
        <v>839</v>
      </c>
      <c r="H33" s="382" t="s">
        <v>840</v>
      </c>
    </row>
    <row r="34" spans="1:8" ht="13.15" customHeight="1" x14ac:dyDescent="0.2">
      <c r="A34" s="380" t="s">
        <v>841</v>
      </c>
      <c r="B34" s="12" t="s">
        <v>716</v>
      </c>
      <c r="C34" s="19" t="s">
        <v>717</v>
      </c>
      <c r="D34" s="384">
        <v>57</v>
      </c>
      <c r="E34" s="19" t="s">
        <v>20</v>
      </c>
      <c r="F34" s="12"/>
      <c r="G34" s="53" t="s">
        <v>842</v>
      </c>
      <c r="H34" s="382" t="s">
        <v>843</v>
      </c>
    </row>
    <row r="35" spans="1:8" ht="13.15" customHeight="1" x14ac:dyDescent="0.2">
      <c r="A35" s="380" t="s">
        <v>844</v>
      </c>
      <c r="B35" s="12" t="s">
        <v>38</v>
      </c>
      <c r="C35" s="19" t="s">
        <v>717</v>
      </c>
      <c r="D35" s="384">
        <v>58</v>
      </c>
      <c r="E35" s="19" t="s">
        <v>20</v>
      </c>
      <c r="F35" s="12"/>
      <c r="G35" s="53" t="s">
        <v>845</v>
      </c>
      <c r="H35" s="382" t="s">
        <v>846</v>
      </c>
    </row>
    <row r="36" spans="1:8" ht="13.15" customHeight="1" x14ac:dyDescent="0.2">
      <c r="A36" s="380" t="s">
        <v>847</v>
      </c>
      <c r="B36" s="12" t="s">
        <v>848</v>
      </c>
      <c r="C36" s="19" t="s">
        <v>717</v>
      </c>
      <c r="D36" s="384">
        <v>59</v>
      </c>
      <c r="E36" s="19" t="s">
        <v>20</v>
      </c>
      <c r="F36" s="12"/>
      <c r="G36" s="12" t="s">
        <v>849</v>
      </c>
      <c r="H36" s="382" t="s">
        <v>850</v>
      </c>
    </row>
    <row r="37" spans="1:8" ht="13.15" customHeight="1" x14ac:dyDescent="0.2">
      <c r="A37" s="380" t="s">
        <v>851</v>
      </c>
      <c r="B37" s="12" t="s">
        <v>727</v>
      </c>
      <c r="C37" s="19" t="s">
        <v>717</v>
      </c>
      <c r="D37" s="384">
        <v>60</v>
      </c>
      <c r="E37" s="19" t="s">
        <v>20</v>
      </c>
      <c r="F37" s="12"/>
      <c r="G37" s="12" t="s">
        <v>852</v>
      </c>
      <c r="H37" s="382" t="s">
        <v>853</v>
      </c>
    </row>
    <row r="38" spans="1:8" ht="13.15" customHeight="1" x14ac:dyDescent="0.2">
      <c r="A38" s="380" t="s">
        <v>854</v>
      </c>
      <c r="B38" s="12" t="s">
        <v>855</v>
      </c>
      <c r="C38" s="19" t="s">
        <v>699</v>
      </c>
      <c r="D38" s="381">
        <v>64</v>
      </c>
      <c r="E38" s="19" t="s">
        <v>700</v>
      </c>
      <c r="F38" s="53" t="s">
        <v>856</v>
      </c>
      <c r="G38" s="12" t="s">
        <v>857</v>
      </c>
      <c r="H38" s="382" t="s">
        <v>858</v>
      </c>
    </row>
    <row r="39" spans="1:8" ht="13.15" customHeight="1" x14ac:dyDescent="0.2">
      <c r="A39" s="380" t="s">
        <v>859</v>
      </c>
      <c r="B39" s="12" t="s">
        <v>860</v>
      </c>
      <c r="C39" s="19" t="s">
        <v>699</v>
      </c>
      <c r="D39" s="381">
        <v>65</v>
      </c>
      <c r="E39" s="19" t="s">
        <v>700</v>
      </c>
      <c r="F39" s="12" t="s">
        <v>861</v>
      </c>
      <c r="G39" s="12" t="s">
        <v>862</v>
      </c>
      <c r="H39" s="382" t="s">
        <v>863</v>
      </c>
    </row>
    <row r="40" spans="1:8" ht="13.15" customHeight="1" x14ac:dyDescent="0.2">
      <c r="A40" s="380" t="s">
        <v>864</v>
      </c>
      <c r="B40" s="12" t="s">
        <v>860</v>
      </c>
      <c r="C40" s="19" t="s">
        <v>699</v>
      </c>
      <c r="D40" s="381">
        <v>66</v>
      </c>
      <c r="E40" s="19" t="s">
        <v>700</v>
      </c>
      <c r="F40" s="53" t="s">
        <v>865</v>
      </c>
      <c r="G40" s="12" t="s">
        <v>866</v>
      </c>
      <c r="H40" s="382" t="s">
        <v>867</v>
      </c>
    </row>
    <row r="41" spans="1:8" ht="13.15" customHeight="1" x14ac:dyDescent="0.2">
      <c r="A41" s="380" t="s">
        <v>868</v>
      </c>
      <c r="B41" s="12" t="s">
        <v>705</v>
      </c>
      <c r="C41" s="19" t="s">
        <v>699</v>
      </c>
      <c r="D41" s="381">
        <v>67</v>
      </c>
      <c r="E41" s="19" t="s">
        <v>700</v>
      </c>
      <c r="F41" s="12" t="s">
        <v>869</v>
      </c>
      <c r="G41" s="12" t="s">
        <v>870</v>
      </c>
      <c r="H41" s="382" t="s">
        <v>871</v>
      </c>
    </row>
    <row r="42" spans="1:8" ht="13.15" customHeight="1" x14ac:dyDescent="0.2">
      <c r="A42" s="380" t="s">
        <v>872</v>
      </c>
      <c r="B42" s="12" t="s">
        <v>803</v>
      </c>
      <c r="C42" s="19" t="s">
        <v>804</v>
      </c>
      <c r="D42" s="383">
        <v>72</v>
      </c>
      <c r="E42" s="19" t="s">
        <v>21</v>
      </c>
      <c r="F42" s="12" t="s">
        <v>873</v>
      </c>
      <c r="G42" s="12" t="s">
        <v>874</v>
      </c>
      <c r="H42" s="382" t="s">
        <v>875</v>
      </c>
    </row>
    <row r="43" spans="1:8" x14ac:dyDescent="0.2">
      <c r="A43" s="380" t="s">
        <v>876</v>
      </c>
      <c r="B43" s="12" t="s">
        <v>803</v>
      </c>
      <c r="C43" s="19" t="s">
        <v>804</v>
      </c>
      <c r="D43" s="383">
        <v>73</v>
      </c>
      <c r="E43" s="19" t="s">
        <v>791</v>
      </c>
      <c r="F43" s="12" t="s">
        <v>877</v>
      </c>
      <c r="G43" s="12" t="s">
        <v>878</v>
      </c>
      <c r="H43" s="382" t="s">
        <v>875</v>
      </c>
    </row>
    <row r="44" spans="1:8" ht="13.15" customHeight="1" x14ac:dyDescent="0.2">
      <c r="A44" s="380" t="s">
        <v>879</v>
      </c>
      <c r="B44" s="12" t="s">
        <v>880</v>
      </c>
      <c r="C44" s="19" t="s">
        <v>804</v>
      </c>
      <c r="D44" s="383">
        <v>74</v>
      </c>
      <c r="E44" s="19" t="s">
        <v>21</v>
      </c>
      <c r="F44" s="12" t="s">
        <v>881</v>
      </c>
      <c r="G44" s="12" t="s">
        <v>882</v>
      </c>
      <c r="H44" s="382" t="s">
        <v>883</v>
      </c>
    </row>
    <row r="45" spans="1:8" ht="13.15" customHeight="1" x14ac:dyDescent="0.2">
      <c r="A45" s="380" t="s">
        <v>884</v>
      </c>
      <c r="B45" s="12" t="s">
        <v>880</v>
      </c>
      <c r="C45" s="19" t="s">
        <v>804</v>
      </c>
      <c r="D45" s="383">
        <v>75</v>
      </c>
      <c r="E45" s="19" t="s">
        <v>21</v>
      </c>
      <c r="F45" s="12" t="s">
        <v>885</v>
      </c>
      <c r="G45" s="12" t="s">
        <v>886</v>
      </c>
      <c r="H45" s="382" t="s">
        <v>887</v>
      </c>
    </row>
    <row r="46" spans="1:8" ht="13.15" customHeight="1" x14ac:dyDescent="0.2">
      <c r="A46" s="380" t="s">
        <v>888</v>
      </c>
      <c r="B46" s="12" t="s">
        <v>889</v>
      </c>
      <c r="C46" s="19" t="s">
        <v>740</v>
      </c>
      <c r="D46" s="381">
        <v>76</v>
      </c>
      <c r="E46" s="19" t="s">
        <v>700</v>
      </c>
      <c r="F46" s="12" t="s">
        <v>890</v>
      </c>
      <c r="G46" s="53" t="s">
        <v>891</v>
      </c>
      <c r="H46" s="382" t="s">
        <v>892</v>
      </c>
    </row>
    <row r="47" spans="1:8" ht="13.15" customHeight="1" x14ac:dyDescent="0.2">
      <c r="A47" s="380" t="s">
        <v>893</v>
      </c>
      <c r="B47" s="12" t="s">
        <v>31</v>
      </c>
      <c r="C47" s="19" t="s">
        <v>740</v>
      </c>
      <c r="D47" s="384">
        <v>77</v>
      </c>
      <c r="E47" s="19" t="s">
        <v>21</v>
      </c>
      <c r="F47" s="12" t="s">
        <v>894</v>
      </c>
      <c r="G47" s="12" t="s">
        <v>895</v>
      </c>
      <c r="H47" s="382" t="s">
        <v>896</v>
      </c>
    </row>
    <row r="48" spans="1:8" ht="13.15" customHeight="1" x14ac:dyDescent="0.2">
      <c r="A48" s="380" t="s">
        <v>897</v>
      </c>
      <c r="B48" s="12" t="s">
        <v>31</v>
      </c>
      <c r="C48" s="19" t="s">
        <v>740</v>
      </c>
      <c r="D48" s="384">
        <v>78</v>
      </c>
      <c r="E48" s="19" t="s">
        <v>791</v>
      </c>
      <c r="F48" s="12" t="s">
        <v>898</v>
      </c>
      <c r="G48" s="12" t="s">
        <v>899</v>
      </c>
      <c r="H48" s="382" t="s">
        <v>900</v>
      </c>
    </row>
    <row r="49" spans="1:8" ht="13.15" customHeight="1" x14ac:dyDescent="0.2">
      <c r="A49" s="380" t="s">
        <v>901</v>
      </c>
      <c r="B49" s="12" t="s">
        <v>902</v>
      </c>
      <c r="C49" s="19" t="s">
        <v>740</v>
      </c>
      <c r="D49" s="381">
        <v>80</v>
      </c>
      <c r="E49" s="19" t="s">
        <v>700</v>
      </c>
      <c r="F49" s="12" t="s">
        <v>903</v>
      </c>
      <c r="G49" s="12" t="s">
        <v>904</v>
      </c>
      <c r="H49" s="382" t="s">
        <v>905</v>
      </c>
    </row>
    <row r="50" spans="1:8" ht="13.15" customHeight="1" x14ac:dyDescent="0.2">
      <c r="A50" s="380" t="s">
        <v>906</v>
      </c>
      <c r="B50" s="12" t="s">
        <v>92</v>
      </c>
      <c r="C50" s="19" t="s">
        <v>740</v>
      </c>
      <c r="D50" s="384">
        <v>81</v>
      </c>
      <c r="E50" s="19" t="s">
        <v>21</v>
      </c>
      <c r="F50" s="12" t="s">
        <v>907</v>
      </c>
      <c r="G50" s="53" t="s">
        <v>908</v>
      </c>
      <c r="H50" s="382" t="s">
        <v>909</v>
      </c>
    </row>
    <row r="51" spans="1:8" ht="13.15" customHeight="1" x14ac:dyDescent="0.2">
      <c r="A51" s="380" t="s">
        <v>910</v>
      </c>
      <c r="B51" s="12" t="s">
        <v>31</v>
      </c>
      <c r="C51" s="19" t="s">
        <v>740</v>
      </c>
      <c r="D51" s="384">
        <v>82</v>
      </c>
      <c r="E51" s="19" t="s">
        <v>21</v>
      </c>
      <c r="F51" s="12" t="s">
        <v>911</v>
      </c>
      <c r="G51" s="12" t="s">
        <v>912</v>
      </c>
      <c r="H51" s="382" t="s">
        <v>913</v>
      </c>
    </row>
    <row r="52" spans="1:8" ht="13.15" customHeight="1" x14ac:dyDescent="0.2">
      <c r="A52" s="380" t="s">
        <v>914</v>
      </c>
      <c r="B52" s="12" t="s">
        <v>889</v>
      </c>
      <c r="C52" s="19" t="s">
        <v>740</v>
      </c>
      <c r="D52" s="384">
        <v>83</v>
      </c>
      <c r="E52" s="19" t="s">
        <v>791</v>
      </c>
      <c r="F52" s="12" t="s">
        <v>915</v>
      </c>
      <c r="G52" s="12" t="s">
        <v>916</v>
      </c>
      <c r="H52" s="382" t="s">
        <v>913</v>
      </c>
    </row>
    <row r="53" spans="1:8" ht="13.15" customHeight="1" x14ac:dyDescent="0.2">
      <c r="A53" s="380" t="s">
        <v>917</v>
      </c>
      <c r="B53" s="12" t="s">
        <v>889</v>
      </c>
      <c r="C53" s="19" t="s">
        <v>740</v>
      </c>
      <c r="D53" s="381">
        <v>84</v>
      </c>
      <c r="E53" s="19" t="s">
        <v>700</v>
      </c>
      <c r="F53" s="53" t="s">
        <v>918</v>
      </c>
      <c r="G53" s="12" t="s">
        <v>919</v>
      </c>
      <c r="H53" s="382" t="s">
        <v>920</v>
      </c>
    </row>
    <row r="54" spans="1:8" ht="13.15" customHeight="1" x14ac:dyDescent="0.2">
      <c r="A54" s="380" t="s">
        <v>921</v>
      </c>
      <c r="B54" s="12" t="s">
        <v>922</v>
      </c>
      <c r="C54" s="19" t="s">
        <v>735</v>
      </c>
      <c r="D54" s="384">
        <v>86</v>
      </c>
      <c r="E54" s="19" t="s">
        <v>21</v>
      </c>
      <c r="F54" s="12"/>
      <c r="G54" s="53" t="s">
        <v>923</v>
      </c>
      <c r="H54" s="382" t="s">
        <v>924</v>
      </c>
    </row>
    <row r="55" spans="1:8" ht="13.15" customHeight="1" x14ac:dyDescent="0.2">
      <c r="A55" s="380" t="s">
        <v>925</v>
      </c>
      <c r="B55" s="12" t="s">
        <v>716</v>
      </c>
      <c r="C55" s="19" t="s">
        <v>717</v>
      </c>
      <c r="D55" s="384">
        <v>87</v>
      </c>
      <c r="E55" s="19" t="s">
        <v>21</v>
      </c>
      <c r="F55" s="12"/>
      <c r="G55" s="53" t="s">
        <v>926</v>
      </c>
      <c r="H55" s="382" t="s">
        <v>927</v>
      </c>
    </row>
    <row r="56" spans="1:8" ht="13.15" customHeight="1" x14ac:dyDescent="0.2">
      <c r="A56" s="386" t="s">
        <v>928</v>
      </c>
      <c r="B56" s="61" t="s">
        <v>929</v>
      </c>
      <c r="C56" s="54" t="s">
        <v>755</v>
      </c>
      <c r="D56" s="383">
        <v>88</v>
      </c>
      <c r="E56" s="54" t="s">
        <v>21</v>
      </c>
      <c r="F56" s="61"/>
      <c r="G56" s="134" t="s">
        <v>930</v>
      </c>
      <c r="H56" s="387" t="s">
        <v>931</v>
      </c>
    </row>
    <row r="57" spans="1:8" ht="13.15" customHeight="1" x14ac:dyDescent="0.2">
      <c r="A57" s="380" t="s">
        <v>932</v>
      </c>
      <c r="B57" s="12" t="s">
        <v>933</v>
      </c>
      <c r="C57" s="19" t="s">
        <v>717</v>
      </c>
      <c r="D57" s="384">
        <v>89</v>
      </c>
      <c r="E57" s="19" t="s">
        <v>21</v>
      </c>
      <c r="F57" s="12"/>
      <c r="G57" s="53" t="s">
        <v>934</v>
      </c>
      <c r="H57" s="382" t="s">
        <v>935</v>
      </c>
    </row>
    <row r="58" spans="1:8" ht="13.15" customHeight="1" x14ac:dyDescent="0.2">
      <c r="A58" s="380" t="s">
        <v>936</v>
      </c>
      <c r="B58" s="12" t="s">
        <v>933</v>
      </c>
      <c r="C58" s="19" t="s">
        <v>717</v>
      </c>
      <c r="D58" s="384">
        <v>90</v>
      </c>
      <c r="E58" s="19" t="s">
        <v>21</v>
      </c>
      <c r="F58" s="12"/>
      <c r="G58" s="53" t="s">
        <v>937</v>
      </c>
      <c r="H58" s="382" t="s">
        <v>938</v>
      </c>
    </row>
    <row r="59" spans="1:8" ht="13.15" customHeight="1" x14ac:dyDescent="0.2">
      <c r="A59" s="380" t="s">
        <v>939</v>
      </c>
      <c r="B59" s="12" t="s">
        <v>933</v>
      </c>
      <c r="C59" s="19" t="s">
        <v>735</v>
      </c>
      <c r="D59" s="384">
        <v>91</v>
      </c>
      <c r="E59" s="19" t="s">
        <v>21</v>
      </c>
      <c r="F59" s="12"/>
      <c r="G59" s="53" t="s">
        <v>937</v>
      </c>
      <c r="H59" s="382" t="s">
        <v>940</v>
      </c>
    </row>
    <row r="60" spans="1:8" ht="13.15" customHeight="1" x14ac:dyDescent="0.2">
      <c r="A60" s="380" t="s">
        <v>941</v>
      </c>
      <c r="B60" s="12" t="s">
        <v>942</v>
      </c>
      <c r="C60" s="19" t="s">
        <v>717</v>
      </c>
      <c r="D60" s="381">
        <v>92</v>
      </c>
      <c r="E60" s="19" t="s">
        <v>700</v>
      </c>
      <c r="F60" s="12"/>
      <c r="G60" s="53" t="s">
        <v>943</v>
      </c>
      <c r="H60" s="382" t="s">
        <v>905</v>
      </c>
    </row>
    <row r="61" spans="1:8" ht="13.15" customHeight="1" x14ac:dyDescent="0.2">
      <c r="A61" s="380" t="s">
        <v>944</v>
      </c>
      <c r="B61" s="12" t="s">
        <v>929</v>
      </c>
      <c r="C61" s="19" t="s">
        <v>717</v>
      </c>
      <c r="D61" s="384">
        <v>94</v>
      </c>
      <c r="E61" s="19" t="s">
        <v>791</v>
      </c>
      <c r="F61" s="12"/>
      <c r="G61" s="53" t="s">
        <v>945</v>
      </c>
      <c r="H61" s="382" t="s">
        <v>946</v>
      </c>
    </row>
    <row r="62" spans="1:8" ht="13.15" customHeight="1" x14ac:dyDescent="0.2">
      <c r="A62" s="380" t="s">
        <v>947</v>
      </c>
      <c r="B62" s="12" t="s">
        <v>948</v>
      </c>
      <c r="C62" s="19" t="s">
        <v>717</v>
      </c>
      <c r="D62" s="381">
        <v>95</v>
      </c>
      <c r="E62" s="19" t="s">
        <v>700</v>
      </c>
      <c r="F62" s="12"/>
      <c r="G62" s="12" t="s">
        <v>949</v>
      </c>
      <c r="H62" s="382" t="s">
        <v>950</v>
      </c>
    </row>
    <row r="63" spans="1:8" ht="13.15" customHeight="1" x14ac:dyDescent="0.2">
      <c r="A63" s="380" t="s">
        <v>951</v>
      </c>
      <c r="B63" s="12" t="s">
        <v>38</v>
      </c>
      <c r="C63" s="19" t="s">
        <v>717</v>
      </c>
      <c r="D63" s="384">
        <v>97</v>
      </c>
      <c r="E63" s="19" t="s">
        <v>791</v>
      </c>
      <c r="F63" s="12"/>
      <c r="G63" s="53" t="s">
        <v>952</v>
      </c>
      <c r="H63" s="382" t="s">
        <v>953</v>
      </c>
    </row>
    <row r="64" spans="1:8" ht="13.15" customHeight="1" x14ac:dyDescent="0.2">
      <c r="A64" s="380" t="s">
        <v>954</v>
      </c>
      <c r="B64" s="12" t="s">
        <v>955</v>
      </c>
      <c r="C64" s="19" t="s">
        <v>717</v>
      </c>
      <c r="D64" s="384">
        <v>98</v>
      </c>
      <c r="E64" s="19" t="s">
        <v>791</v>
      </c>
      <c r="F64" s="12"/>
      <c r="G64" s="12" t="s">
        <v>956</v>
      </c>
      <c r="H64" s="382" t="s">
        <v>957</v>
      </c>
    </row>
    <row r="65" spans="1:8" ht="13.15" customHeight="1" x14ac:dyDescent="0.2">
      <c r="A65" s="380" t="s">
        <v>958</v>
      </c>
      <c r="B65" s="12" t="s">
        <v>91</v>
      </c>
      <c r="C65" s="19" t="s">
        <v>829</v>
      </c>
      <c r="D65" s="384">
        <v>99</v>
      </c>
      <c r="E65" s="19" t="s">
        <v>21</v>
      </c>
      <c r="F65" s="53" t="s">
        <v>959</v>
      </c>
      <c r="G65" s="53" t="s">
        <v>960</v>
      </c>
      <c r="H65" s="382" t="s">
        <v>961</v>
      </c>
    </row>
    <row r="66" spans="1:8" ht="13.15" customHeight="1" x14ac:dyDescent="0.2">
      <c r="A66" s="380" t="s">
        <v>962</v>
      </c>
      <c r="B66" s="12" t="s">
        <v>963</v>
      </c>
      <c r="C66" s="19" t="s">
        <v>717</v>
      </c>
      <c r="D66" s="384">
        <v>100</v>
      </c>
      <c r="E66" s="19" t="s">
        <v>21</v>
      </c>
      <c r="F66" s="12"/>
      <c r="G66" s="53" t="s">
        <v>926</v>
      </c>
      <c r="H66" s="382" t="s">
        <v>927</v>
      </c>
    </row>
    <row r="67" spans="1:8" ht="13.15" customHeight="1" x14ac:dyDescent="0.2">
      <c r="A67" s="380" t="s">
        <v>964</v>
      </c>
      <c r="B67" s="12" t="s">
        <v>38</v>
      </c>
      <c r="C67" s="19" t="s">
        <v>717</v>
      </c>
      <c r="D67" s="384">
        <v>101</v>
      </c>
      <c r="E67" s="19" t="s">
        <v>21</v>
      </c>
      <c r="F67" s="12"/>
      <c r="G67" s="53" t="s">
        <v>965</v>
      </c>
      <c r="H67" s="382" t="s">
        <v>966</v>
      </c>
    </row>
    <row r="68" spans="1:8" ht="13.15" customHeight="1" x14ac:dyDescent="0.2">
      <c r="A68" s="386" t="s">
        <v>967</v>
      </c>
      <c r="B68" s="61" t="s">
        <v>86</v>
      </c>
      <c r="C68" s="54" t="s">
        <v>968</v>
      </c>
      <c r="D68" s="384">
        <v>102</v>
      </c>
      <c r="E68" s="54" t="s">
        <v>21</v>
      </c>
      <c r="F68" s="134" t="s">
        <v>969</v>
      </c>
      <c r="G68" s="134" t="s">
        <v>970</v>
      </c>
      <c r="H68" s="387" t="s">
        <v>971</v>
      </c>
    </row>
    <row r="69" spans="1:8" ht="13.15" customHeight="1" x14ac:dyDescent="0.2">
      <c r="A69" s="386" t="s">
        <v>972</v>
      </c>
      <c r="B69" s="61" t="s">
        <v>87</v>
      </c>
      <c r="C69" s="54" t="s">
        <v>968</v>
      </c>
      <c r="D69" s="384">
        <v>103</v>
      </c>
      <c r="E69" s="54" t="s">
        <v>21</v>
      </c>
      <c r="F69" s="61" t="s">
        <v>973</v>
      </c>
      <c r="G69" s="134" t="s">
        <v>974</v>
      </c>
      <c r="H69" s="387" t="s">
        <v>975</v>
      </c>
    </row>
    <row r="70" spans="1:8" ht="13.15" customHeight="1" x14ac:dyDescent="0.2">
      <c r="A70" s="380" t="s">
        <v>976</v>
      </c>
      <c r="B70" s="12" t="s">
        <v>977</v>
      </c>
      <c r="C70" s="19" t="s">
        <v>717</v>
      </c>
      <c r="D70" s="384">
        <v>104</v>
      </c>
      <c r="E70" s="19" t="s">
        <v>21</v>
      </c>
      <c r="F70" s="12"/>
      <c r="G70" s="53" t="s">
        <v>978</v>
      </c>
      <c r="H70" s="382" t="s">
        <v>979</v>
      </c>
    </row>
    <row r="71" spans="1:8" ht="13.15" customHeight="1" x14ac:dyDescent="0.2">
      <c r="A71" s="380" t="s">
        <v>980</v>
      </c>
      <c r="B71" s="12" t="s">
        <v>981</v>
      </c>
      <c r="C71" s="19" t="s">
        <v>717</v>
      </c>
      <c r="D71" s="384">
        <v>105</v>
      </c>
      <c r="E71" s="19" t="s">
        <v>21</v>
      </c>
      <c r="F71" s="12"/>
      <c r="G71" s="12" t="s">
        <v>982</v>
      </c>
      <c r="H71" s="382" t="s">
        <v>983</v>
      </c>
    </row>
    <row r="72" spans="1:8" ht="13.15" customHeight="1" x14ac:dyDescent="0.2">
      <c r="A72" s="380" t="s">
        <v>984</v>
      </c>
      <c r="B72" s="12" t="s">
        <v>985</v>
      </c>
      <c r="C72" s="19" t="s">
        <v>717</v>
      </c>
      <c r="D72" s="384">
        <v>106</v>
      </c>
      <c r="E72" s="19" t="s">
        <v>21</v>
      </c>
      <c r="F72" s="12"/>
      <c r="G72" s="12" t="s">
        <v>986</v>
      </c>
      <c r="H72" s="382" t="s">
        <v>987</v>
      </c>
    </row>
    <row r="73" spans="1:8" ht="13.15" customHeight="1" x14ac:dyDescent="0.2">
      <c r="A73" s="386" t="s">
        <v>988</v>
      </c>
      <c r="B73" s="61" t="s">
        <v>88</v>
      </c>
      <c r="C73" s="54" t="s">
        <v>968</v>
      </c>
      <c r="D73" s="384">
        <v>108</v>
      </c>
      <c r="E73" s="54" t="s">
        <v>21</v>
      </c>
      <c r="F73" s="61" t="s">
        <v>989</v>
      </c>
      <c r="G73" s="134" t="s">
        <v>990</v>
      </c>
      <c r="H73" s="387" t="s">
        <v>991</v>
      </c>
    </row>
    <row r="74" spans="1:8" ht="13.15" customHeight="1" x14ac:dyDescent="0.2">
      <c r="A74" s="386" t="s">
        <v>992</v>
      </c>
      <c r="B74" s="61" t="s">
        <v>89</v>
      </c>
      <c r="C74" s="54" t="s">
        <v>968</v>
      </c>
      <c r="D74" s="384">
        <v>109</v>
      </c>
      <c r="E74" s="54" t="s">
        <v>21</v>
      </c>
      <c r="F74" s="134" t="s">
        <v>993</v>
      </c>
      <c r="G74" s="61" t="s">
        <v>994</v>
      </c>
      <c r="H74" s="387" t="s">
        <v>995</v>
      </c>
    </row>
    <row r="75" spans="1:8" x14ac:dyDescent="0.2">
      <c r="A75" s="386" t="s">
        <v>996</v>
      </c>
      <c r="B75" s="61" t="s">
        <v>997</v>
      </c>
      <c r="C75" s="54" t="s">
        <v>755</v>
      </c>
      <c r="D75" s="383">
        <v>110</v>
      </c>
      <c r="E75" s="54" t="s">
        <v>21</v>
      </c>
      <c r="F75" s="61" t="s">
        <v>998</v>
      </c>
      <c r="G75" s="61" t="s">
        <v>999</v>
      </c>
      <c r="H75" s="387" t="s">
        <v>1000</v>
      </c>
    </row>
    <row r="76" spans="1:8" ht="13.15" customHeight="1" x14ac:dyDescent="0.2">
      <c r="A76" s="380" t="s">
        <v>1001</v>
      </c>
      <c r="B76" s="12" t="s">
        <v>814</v>
      </c>
      <c r="C76" s="19"/>
      <c r="D76" s="381">
        <v>111</v>
      </c>
      <c r="E76" s="19" t="s">
        <v>700</v>
      </c>
      <c r="F76" s="53" t="s">
        <v>1002</v>
      </c>
      <c r="G76" s="12" t="s">
        <v>1003</v>
      </c>
      <c r="H76" s="382" t="s">
        <v>1004</v>
      </c>
    </row>
    <row r="77" spans="1:8" ht="13.15" customHeight="1" x14ac:dyDescent="0.2">
      <c r="A77" s="380" t="s">
        <v>1005</v>
      </c>
      <c r="B77" s="12" t="s">
        <v>782</v>
      </c>
      <c r="C77" s="19"/>
      <c r="D77" s="381">
        <v>114</v>
      </c>
      <c r="E77" s="19" t="s">
        <v>700</v>
      </c>
      <c r="F77" s="12" t="s">
        <v>1006</v>
      </c>
      <c r="G77" s="53" t="s">
        <v>1007</v>
      </c>
      <c r="H77" s="382" t="s">
        <v>1008</v>
      </c>
    </row>
    <row r="78" spans="1:8" x14ac:dyDescent="0.2">
      <c r="A78" s="380" t="s">
        <v>1009</v>
      </c>
      <c r="B78" s="12" t="s">
        <v>782</v>
      </c>
      <c r="C78" s="54" t="s">
        <v>755</v>
      </c>
      <c r="D78" s="383">
        <v>115</v>
      </c>
      <c r="E78" s="19" t="s">
        <v>21</v>
      </c>
      <c r="F78" s="12" t="s">
        <v>1010</v>
      </c>
      <c r="G78" s="12" t="s">
        <v>1011</v>
      </c>
      <c r="H78" s="382" t="s">
        <v>1012</v>
      </c>
    </row>
    <row r="79" spans="1:8" x14ac:dyDescent="0.2">
      <c r="A79" s="380" t="s">
        <v>1013</v>
      </c>
      <c r="B79" s="12" t="s">
        <v>880</v>
      </c>
      <c r="C79" s="19" t="s">
        <v>804</v>
      </c>
      <c r="D79" s="383">
        <v>116</v>
      </c>
      <c r="E79" s="19" t="s">
        <v>791</v>
      </c>
      <c r="F79" s="12" t="s">
        <v>1014</v>
      </c>
      <c r="G79" s="12" t="s">
        <v>1015</v>
      </c>
      <c r="H79" s="382" t="s">
        <v>837</v>
      </c>
    </row>
    <row r="80" spans="1:8" ht="13.9" customHeight="1" x14ac:dyDescent="0.2">
      <c r="A80" s="386" t="s">
        <v>1016</v>
      </c>
      <c r="B80" s="61" t="s">
        <v>25</v>
      </c>
      <c r="C80" s="54" t="s">
        <v>968</v>
      </c>
      <c r="D80" s="384">
        <v>117</v>
      </c>
      <c r="E80" s="54" t="s">
        <v>21</v>
      </c>
      <c r="F80" s="61" t="s">
        <v>1017</v>
      </c>
      <c r="G80" s="134" t="s">
        <v>1018</v>
      </c>
      <c r="H80" s="387" t="s">
        <v>1019</v>
      </c>
    </row>
    <row r="81" spans="1:8" ht="13.15" customHeight="1" x14ac:dyDescent="0.2">
      <c r="A81" s="386" t="s">
        <v>1020</v>
      </c>
      <c r="B81" s="61" t="s">
        <v>25</v>
      </c>
      <c r="C81" s="54" t="s">
        <v>968</v>
      </c>
      <c r="D81" s="384">
        <v>118</v>
      </c>
      <c r="E81" s="54" t="s">
        <v>21</v>
      </c>
      <c r="F81" s="61" t="s">
        <v>1021</v>
      </c>
      <c r="G81" s="134" t="s">
        <v>1022</v>
      </c>
      <c r="H81" s="387" t="s">
        <v>1019</v>
      </c>
    </row>
    <row r="82" spans="1:8" ht="13.15" customHeight="1" x14ac:dyDescent="0.2">
      <c r="A82" s="386" t="s">
        <v>1023</v>
      </c>
      <c r="B82" s="61" t="s">
        <v>25</v>
      </c>
      <c r="C82" s="54" t="s">
        <v>968</v>
      </c>
      <c r="D82" s="384">
        <v>119</v>
      </c>
      <c r="E82" s="54" t="s">
        <v>21</v>
      </c>
      <c r="F82" s="61" t="s">
        <v>1024</v>
      </c>
      <c r="G82" s="134" t="s">
        <v>1025</v>
      </c>
      <c r="H82" s="387" t="s">
        <v>1019</v>
      </c>
    </row>
    <row r="83" spans="1:8" ht="13.15" customHeight="1" x14ac:dyDescent="0.2">
      <c r="A83" s="386" t="s">
        <v>1026</v>
      </c>
      <c r="B83" s="61" t="s">
        <v>90</v>
      </c>
      <c r="C83" s="54" t="s">
        <v>968</v>
      </c>
      <c r="D83" s="384">
        <v>120</v>
      </c>
      <c r="E83" s="388" t="s">
        <v>131</v>
      </c>
      <c r="F83" s="61" t="s">
        <v>1027</v>
      </c>
      <c r="G83" s="61" t="s">
        <v>1028</v>
      </c>
      <c r="H83" s="387" t="s">
        <v>1029</v>
      </c>
    </row>
    <row r="84" spans="1:8" ht="13.15" customHeight="1" x14ac:dyDescent="0.2">
      <c r="A84" s="380" t="s">
        <v>1030</v>
      </c>
      <c r="B84" s="12" t="s">
        <v>1031</v>
      </c>
      <c r="C84" s="19" t="s">
        <v>740</v>
      </c>
      <c r="D84" s="381">
        <v>121</v>
      </c>
      <c r="E84" s="19" t="s">
        <v>700</v>
      </c>
      <c r="F84" s="12" t="s">
        <v>1032</v>
      </c>
      <c r="G84" s="12" t="s">
        <v>1033</v>
      </c>
      <c r="H84" s="382" t="s">
        <v>995</v>
      </c>
    </row>
    <row r="85" spans="1:8" ht="13.15" customHeight="1" x14ac:dyDescent="0.2">
      <c r="A85" s="386" t="s">
        <v>1034</v>
      </c>
      <c r="B85" s="61" t="s">
        <v>86</v>
      </c>
      <c r="C85" s="54" t="s">
        <v>968</v>
      </c>
      <c r="D85" s="384">
        <v>122</v>
      </c>
      <c r="E85" s="54" t="s">
        <v>21</v>
      </c>
      <c r="F85" s="134" t="s">
        <v>1035</v>
      </c>
      <c r="G85" s="134" t="s">
        <v>1036</v>
      </c>
      <c r="H85" s="387" t="s">
        <v>1037</v>
      </c>
    </row>
    <row r="86" spans="1:8" ht="13.15" customHeight="1" x14ac:dyDescent="0.2">
      <c r="A86" s="386" t="s">
        <v>1038</v>
      </c>
      <c r="B86" s="61" t="s">
        <v>1039</v>
      </c>
      <c r="C86" s="54" t="s">
        <v>968</v>
      </c>
      <c r="D86" s="381">
        <v>123</v>
      </c>
      <c r="E86" s="19" t="s">
        <v>700</v>
      </c>
      <c r="F86" s="134" t="s">
        <v>1040</v>
      </c>
      <c r="G86" s="61" t="s">
        <v>1041</v>
      </c>
      <c r="H86" s="387" t="s">
        <v>1042</v>
      </c>
    </row>
    <row r="87" spans="1:8" x14ac:dyDescent="0.2">
      <c r="A87" s="380" t="s">
        <v>1043</v>
      </c>
      <c r="B87" s="12" t="s">
        <v>1044</v>
      </c>
      <c r="C87" s="19" t="s">
        <v>740</v>
      </c>
      <c r="D87" s="384">
        <v>124</v>
      </c>
      <c r="E87" s="19" t="s">
        <v>791</v>
      </c>
      <c r="F87" s="12" t="s">
        <v>1045</v>
      </c>
      <c r="G87" s="12" t="s">
        <v>1046</v>
      </c>
      <c r="H87" s="382" t="s">
        <v>1047</v>
      </c>
    </row>
    <row r="88" spans="1:8" ht="13.15" customHeight="1" x14ac:dyDescent="0.2">
      <c r="A88" s="380" t="s">
        <v>1048</v>
      </c>
      <c r="B88" s="12" t="s">
        <v>765</v>
      </c>
      <c r="C88" s="19" t="s">
        <v>699</v>
      </c>
      <c r="D88" s="381">
        <v>125</v>
      </c>
      <c r="E88" s="19" t="s">
        <v>700</v>
      </c>
      <c r="F88" s="12" t="s">
        <v>1049</v>
      </c>
      <c r="G88" s="12" t="s">
        <v>1050</v>
      </c>
      <c r="H88" s="382" t="s">
        <v>1051</v>
      </c>
    </row>
    <row r="89" spans="1:8" ht="13.15" customHeight="1" x14ac:dyDescent="0.2">
      <c r="A89" s="380" t="s">
        <v>1052</v>
      </c>
      <c r="B89" s="12" t="s">
        <v>1053</v>
      </c>
      <c r="C89" s="19" t="s">
        <v>699</v>
      </c>
      <c r="D89" s="381">
        <v>126</v>
      </c>
      <c r="E89" s="19" t="s">
        <v>700</v>
      </c>
      <c r="F89" s="12" t="s">
        <v>1054</v>
      </c>
      <c r="G89" s="12" t="s">
        <v>1055</v>
      </c>
      <c r="H89" s="382" t="s">
        <v>1056</v>
      </c>
    </row>
    <row r="90" spans="1:8" ht="13.15" customHeight="1" x14ac:dyDescent="0.2">
      <c r="A90" s="380" t="s">
        <v>1057</v>
      </c>
      <c r="B90" s="12" t="s">
        <v>1053</v>
      </c>
      <c r="C90" s="19" t="s">
        <v>699</v>
      </c>
      <c r="D90" s="381">
        <v>127</v>
      </c>
      <c r="E90" s="19" t="s">
        <v>700</v>
      </c>
      <c r="F90" s="12" t="s">
        <v>1058</v>
      </c>
      <c r="G90" s="12" t="s">
        <v>1059</v>
      </c>
      <c r="H90" s="382" t="s">
        <v>1056</v>
      </c>
    </row>
    <row r="91" spans="1:8" ht="13.15" customHeight="1" x14ac:dyDescent="0.2">
      <c r="A91" s="380" t="s">
        <v>1060</v>
      </c>
      <c r="B91" s="12" t="s">
        <v>1061</v>
      </c>
      <c r="C91" s="19" t="s">
        <v>804</v>
      </c>
      <c r="D91" s="383">
        <v>128</v>
      </c>
      <c r="E91" s="19" t="s">
        <v>21</v>
      </c>
      <c r="F91" s="12" t="s">
        <v>1062</v>
      </c>
      <c r="G91" s="12" t="s">
        <v>1063</v>
      </c>
      <c r="H91" s="382" t="s">
        <v>1064</v>
      </c>
    </row>
    <row r="92" spans="1:8" ht="13.15" customHeight="1" x14ac:dyDescent="0.2">
      <c r="A92" s="380" t="s">
        <v>1065</v>
      </c>
      <c r="B92" s="12" t="s">
        <v>765</v>
      </c>
      <c r="C92" s="19" t="s">
        <v>699</v>
      </c>
      <c r="D92" s="383">
        <v>129</v>
      </c>
      <c r="E92" s="19" t="s">
        <v>20</v>
      </c>
      <c r="F92" s="12" t="s">
        <v>1066</v>
      </c>
      <c r="G92" s="12" t="s">
        <v>1067</v>
      </c>
      <c r="H92" s="382" t="s">
        <v>1068</v>
      </c>
    </row>
    <row r="93" spans="1:8" ht="13.15" customHeight="1" x14ac:dyDescent="0.2">
      <c r="A93" s="380" t="s">
        <v>1069</v>
      </c>
      <c r="B93" s="12" t="s">
        <v>765</v>
      </c>
      <c r="C93" s="19" t="s">
        <v>699</v>
      </c>
      <c r="D93" s="381">
        <v>130</v>
      </c>
      <c r="E93" s="19" t="s">
        <v>700</v>
      </c>
      <c r="F93" s="12" t="s">
        <v>1070</v>
      </c>
      <c r="G93" s="12" t="s">
        <v>1071</v>
      </c>
      <c r="H93" s="382" t="s">
        <v>1068</v>
      </c>
    </row>
    <row r="94" spans="1:8" ht="13.15" customHeight="1" x14ac:dyDescent="0.2">
      <c r="A94" s="386" t="s">
        <v>1072</v>
      </c>
      <c r="B94" s="61" t="s">
        <v>1073</v>
      </c>
      <c r="C94" s="54" t="s">
        <v>755</v>
      </c>
      <c r="D94" s="383">
        <v>131</v>
      </c>
      <c r="E94" s="54" t="s">
        <v>21</v>
      </c>
      <c r="F94" s="61" t="s">
        <v>1074</v>
      </c>
      <c r="G94" s="61" t="s">
        <v>1075</v>
      </c>
      <c r="H94" s="387" t="s">
        <v>1076</v>
      </c>
    </row>
    <row r="95" spans="1:8" ht="13.15" customHeight="1" x14ac:dyDescent="0.2">
      <c r="A95" s="380" t="s">
        <v>1077</v>
      </c>
      <c r="B95" s="12" t="s">
        <v>1078</v>
      </c>
      <c r="C95" s="19" t="s">
        <v>1079</v>
      </c>
      <c r="D95" s="381">
        <v>132</v>
      </c>
      <c r="E95" s="19" t="s">
        <v>700</v>
      </c>
      <c r="F95" s="12" t="s">
        <v>1080</v>
      </c>
      <c r="G95" s="12" t="s">
        <v>1081</v>
      </c>
      <c r="H95" s="382" t="s">
        <v>1082</v>
      </c>
    </row>
    <row r="96" spans="1:8" ht="13.9" customHeight="1" x14ac:dyDescent="0.2">
      <c r="A96" s="380" t="s">
        <v>1083</v>
      </c>
      <c r="B96" s="12" t="s">
        <v>25</v>
      </c>
      <c r="C96" s="19" t="s">
        <v>968</v>
      </c>
      <c r="D96" s="384">
        <v>133</v>
      </c>
      <c r="E96" s="19" t="s">
        <v>20</v>
      </c>
      <c r="F96" s="12" t="s">
        <v>1084</v>
      </c>
      <c r="G96" s="12" t="s">
        <v>1085</v>
      </c>
      <c r="H96" s="382" t="s">
        <v>1086</v>
      </c>
    </row>
    <row r="97" spans="1:8" ht="13.15" customHeight="1" x14ac:dyDescent="0.2">
      <c r="A97" s="380" t="s">
        <v>1087</v>
      </c>
      <c r="B97" s="12" t="s">
        <v>1088</v>
      </c>
      <c r="C97" s="19" t="s">
        <v>1079</v>
      </c>
      <c r="D97" s="383">
        <v>136</v>
      </c>
      <c r="E97" s="19" t="s">
        <v>718</v>
      </c>
      <c r="F97" s="12" t="s">
        <v>1089</v>
      </c>
      <c r="G97" s="12" t="s">
        <v>1090</v>
      </c>
      <c r="H97" s="382" t="s">
        <v>1091</v>
      </c>
    </row>
    <row r="98" spans="1:8" ht="13.15" customHeight="1" x14ac:dyDescent="0.2">
      <c r="A98" s="380" t="s">
        <v>1092</v>
      </c>
      <c r="B98" s="12" t="s">
        <v>1088</v>
      </c>
      <c r="C98" s="19" t="s">
        <v>1079</v>
      </c>
      <c r="D98" s="383">
        <v>137</v>
      </c>
      <c r="E98" s="19" t="s">
        <v>718</v>
      </c>
      <c r="F98" s="12" t="s">
        <v>1093</v>
      </c>
      <c r="G98" s="12" t="s">
        <v>1094</v>
      </c>
      <c r="H98" s="382" t="s">
        <v>1091</v>
      </c>
    </row>
    <row r="99" spans="1:8" ht="13.15" customHeight="1" x14ac:dyDescent="0.2">
      <c r="A99" s="380" t="s">
        <v>1095</v>
      </c>
      <c r="B99" s="12" t="s">
        <v>1096</v>
      </c>
      <c r="C99" s="19" t="s">
        <v>804</v>
      </c>
      <c r="D99" s="383">
        <v>138</v>
      </c>
      <c r="E99" s="19" t="s">
        <v>21</v>
      </c>
      <c r="F99" s="12" t="s">
        <v>1097</v>
      </c>
      <c r="G99" s="12" t="s">
        <v>1098</v>
      </c>
      <c r="H99" s="382" t="s">
        <v>1099</v>
      </c>
    </row>
    <row r="100" spans="1:8" ht="13.15" customHeight="1" x14ac:dyDescent="0.2">
      <c r="A100" s="380" t="s">
        <v>1100</v>
      </c>
      <c r="B100" s="12" t="s">
        <v>1101</v>
      </c>
      <c r="C100" s="19" t="s">
        <v>699</v>
      </c>
      <c r="D100" s="383">
        <v>140</v>
      </c>
      <c r="E100" s="19" t="s">
        <v>791</v>
      </c>
      <c r="F100" s="12" t="s">
        <v>1102</v>
      </c>
      <c r="G100" s="12" t="s">
        <v>1103</v>
      </c>
      <c r="H100" s="382" t="s">
        <v>1104</v>
      </c>
    </row>
    <row r="101" spans="1:8" ht="13.15" customHeight="1" x14ac:dyDescent="0.2">
      <c r="A101" s="380" t="s">
        <v>1105</v>
      </c>
      <c r="B101" s="12" t="s">
        <v>1106</v>
      </c>
      <c r="C101" s="19" t="s">
        <v>699</v>
      </c>
      <c r="D101" s="381">
        <v>141</v>
      </c>
      <c r="E101" s="19" t="s">
        <v>700</v>
      </c>
      <c r="F101" s="12" t="s">
        <v>1107</v>
      </c>
      <c r="G101" s="12" t="s">
        <v>1108</v>
      </c>
      <c r="H101" s="382" t="s">
        <v>1109</v>
      </c>
    </row>
    <row r="102" spans="1:8" x14ac:dyDescent="0.2">
      <c r="A102" s="380" t="s">
        <v>1110</v>
      </c>
      <c r="B102" s="12" t="s">
        <v>1111</v>
      </c>
      <c r="C102" s="19" t="s">
        <v>699</v>
      </c>
      <c r="D102" s="383">
        <v>142</v>
      </c>
      <c r="E102" s="19" t="s">
        <v>21</v>
      </c>
      <c r="F102" s="12" t="s">
        <v>1112</v>
      </c>
      <c r="G102" s="12" t="s">
        <v>1113</v>
      </c>
      <c r="H102" s="382" t="s">
        <v>1114</v>
      </c>
    </row>
    <row r="103" spans="1:8" ht="13.15" customHeight="1" x14ac:dyDescent="0.2">
      <c r="A103" s="380" t="s">
        <v>1115</v>
      </c>
      <c r="B103" s="12" t="s">
        <v>1116</v>
      </c>
      <c r="C103" s="19" t="s">
        <v>699</v>
      </c>
      <c r="D103" s="383">
        <v>143</v>
      </c>
      <c r="E103" s="19" t="s">
        <v>21</v>
      </c>
      <c r="F103" s="12" t="s">
        <v>1117</v>
      </c>
      <c r="G103" s="12" t="s">
        <v>1118</v>
      </c>
      <c r="H103" s="382" t="s">
        <v>1114</v>
      </c>
    </row>
    <row r="104" spans="1:8" ht="13.15" customHeight="1" x14ac:dyDescent="0.2">
      <c r="A104" s="380" t="s">
        <v>1119</v>
      </c>
      <c r="B104" s="12" t="s">
        <v>1116</v>
      </c>
      <c r="C104" s="19" t="s">
        <v>699</v>
      </c>
      <c r="D104" s="383">
        <v>144</v>
      </c>
      <c r="E104" s="19" t="s">
        <v>760</v>
      </c>
      <c r="F104" s="12" t="s">
        <v>1120</v>
      </c>
      <c r="G104" s="12" t="s">
        <v>1121</v>
      </c>
      <c r="H104" s="382" t="s">
        <v>1114</v>
      </c>
    </row>
    <row r="105" spans="1:8" ht="13.15" customHeight="1" x14ac:dyDescent="0.2">
      <c r="A105" s="380" t="s">
        <v>1122</v>
      </c>
      <c r="B105" s="12" t="s">
        <v>1116</v>
      </c>
      <c r="C105" s="19" t="s">
        <v>699</v>
      </c>
      <c r="D105" s="383">
        <v>145</v>
      </c>
      <c r="E105" s="19" t="s">
        <v>1123</v>
      </c>
      <c r="F105" s="12" t="s">
        <v>1124</v>
      </c>
      <c r="G105" s="12" t="s">
        <v>1125</v>
      </c>
      <c r="H105" s="382" t="s">
        <v>1114</v>
      </c>
    </row>
    <row r="106" spans="1:8" ht="13.15" customHeight="1" x14ac:dyDescent="0.2">
      <c r="A106" s="380" t="s">
        <v>1126</v>
      </c>
      <c r="B106" s="12" t="s">
        <v>1101</v>
      </c>
      <c r="C106" s="19" t="s">
        <v>699</v>
      </c>
      <c r="D106" s="383">
        <v>146</v>
      </c>
      <c r="E106" s="19" t="s">
        <v>791</v>
      </c>
      <c r="F106" s="12" t="s">
        <v>1127</v>
      </c>
      <c r="G106" s="12" t="s">
        <v>1128</v>
      </c>
      <c r="H106" s="382" t="s">
        <v>1129</v>
      </c>
    </row>
    <row r="107" spans="1:8" ht="13.15" customHeight="1" x14ac:dyDescent="0.2">
      <c r="A107" s="380" t="s">
        <v>1130</v>
      </c>
      <c r="B107" s="12" t="s">
        <v>1131</v>
      </c>
      <c r="C107" s="19" t="s">
        <v>699</v>
      </c>
      <c r="D107" s="381">
        <v>147</v>
      </c>
      <c r="E107" s="19" t="s">
        <v>700</v>
      </c>
      <c r="F107" s="12" t="s">
        <v>1132</v>
      </c>
      <c r="G107" s="12" t="s">
        <v>1133</v>
      </c>
      <c r="H107" s="382" t="s">
        <v>1129</v>
      </c>
    </row>
    <row r="108" spans="1:8" ht="13.15" customHeight="1" x14ac:dyDescent="0.2">
      <c r="A108" s="380" t="s">
        <v>1134</v>
      </c>
      <c r="B108" s="12" t="s">
        <v>1135</v>
      </c>
      <c r="C108" s="19" t="s">
        <v>699</v>
      </c>
      <c r="D108" s="381">
        <v>148</v>
      </c>
      <c r="E108" s="19" t="s">
        <v>700</v>
      </c>
      <c r="F108" s="12" t="s">
        <v>1136</v>
      </c>
      <c r="G108" s="12" t="s">
        <v>1137</v>
      </c>
      <c r="H108" s="382" t="s">
        <v>1138</v>
      </c>
    </row>
    <row r="109" spans="1:8" ht="13.15" customHeight="1" x14ac:dyDescent="0.2">
      <c r="A109" s="380" t="s">
        <v>1139</v>
      </c>
      <c r="B109" s="12" t="s">
        <v>1106</v>
      </c>
      <c r="C109" s="19" t="s">
        <v>699</v>
      </c>
      <c r="D109" s="383">
        <v>149</v>
      </c>
      <c r="E109" s="19" t="s">
        <v>21</v>
      </c>
      <c r="F109" s="12" t="s">
        <v>1140</v>
      </c>
      <c r="G109" s="12" t="s">
        <v>1141</v>
      </c>
      <c r="H109" s="382" t="s">
        <v>1142</v>
      </c>
    </row>
    <row r="110" spans="1:8" ht="13.15" customHeight="1" x14ac:dyDescent="0.2">
      <c r="A110" s="380" t="s">
        <v>1143</v>
      </c>
      <c r="B110" s="12" t="s">
        <v>1144</v>
      </c>
      <c r="C110" s="19" t="s">
        <v>740</v>
      </c>
      <c r="D110" s="384">
        <v>150</v>
      </c>
      <c r="E110" s="19" t="s">
        <v>1145</v>
      </c>
      <c r="F110" s="53" t="s">
        <v>1146</v>
      </c>
      <c r="G110" s="12" t="s">
        <v>1147</v>
      </c>
      <c r="H110" s="382" t="s">
        <v>1148</v>
      </c>
    </row>
    <row r="111" spans="1:8" ht="13.15" customHeight="1" x14ac:dyDescent="0.2">
      <c r="A111" s="380" t="s">
        <v>1149</v>
      </c>
      <c r="B111" s="12" t="s">
        <v>1144</v>
      </c>
      <c r="C111" s="19" t="s">
        <v>740</v>
      </c>
      <c r="D111" s="384">
        <v>151</v>
      </c>
      <c r="E111" s="19" t="s">
        <v>791</v>
      </c>
      <c r="F111" s="53" t="s">
        <v>1150</v>
      </c>
      <c r="G111" s="12" t="s">
        <v>1151</v>
      </c>
      <c r="H111" s="382" t="s">
        <v>1152</v>
      </c>
    </row>
    <row r="112" spans="1:8" ht="13.15" customHeight="1" x14ac:dyDescent="0.2">
      <c r="A112" s="380" t="s">
        <v>1153</v>
      </c>
      <c r="B112" s="12" t="s">
        <v>1135</v>
      </c>
      <c r="C112" s="19" t="s">
        <v>699</v>
      </c>
      <c r="D112" s="383">
        <v>152</v>
      </c>
      <c r="E112" s="19" t="s">
        <v>21</v>
      </c>
      <c r="F112" s="12" t="s">
        <v>1154</v>
      </c>
      <c r="G112" s="12" t="s">
        <v>1155</v>
      </c>
      <c r="H112" s="382" t="s">
        <v>1156</v>
      </c>
    </row>
    <row r="113" spans="1:8" ht="13.15" customHeight="1" x14ac:dyDescent="0.2">
      <c r="A113" s="380" t="s">
        <v>1157</v>
      </c>
      <c r="B113" s="12" t="s">
        <v>1135</v>
      </c>
      <c r="C113" s="19" t="s">
        <v>699</v>
      </c>
      <c r="D113" s="383">
        <v>153</v>
      </c>
      <c r="E113" s="19" t="s">
        <v>21</v>
      </c>
      <c r="F113" s="12" t="s">
        <v>1158</v>
      </c>
      <c r="G113" s="12" t="s">
        <v>1159</v>
      </c>
      <c r="H113" s="382" t="s">
        <v>1160</v>
      </c>
    </row>
    <row r="114" spans="1:8" ht="13.15" customHeight="1" x14ac:dyDescent="0.2">
      <c r="A114" s="380" t="s">
        <v>1161</v>
      </c>
      <c r="B114" s="12" t="s">
        <v>1135</v>
      </c>
      <c r="C114" s="19" t="s">
        <v>699</v>
      </c>
      <c r="D114" s="383">
        <v>154</v>
      </c>
      <c r="E114" s="19" t="s">
        <v>21</v>
      </c>
      <c r="F114" s="12" t="s">
        <v>1162</v>
      </c>
      <c r="G114" s="12" t="s">
        <v>1163</v>
      </c>
      <c r="H114" s="382" t="s">
        <v>1160</v>
      </c>
    </row>
    <row r="115" spans="1:8" ht="13.15" customHeight="1" x14ac:dyDescent="0.2">
      <c r="A115" s="380" t="s">
        <v>1164</v>
      </c>
      <c r="B115" s="12" t="s">
        <v>1165</v>
      </c>
      <c r="C115" s="19" t="s">
        <v>804</v>
      </c>
      <c r="D115" s="385">
        <v>155</v>
      </c>
      <c r="E115" s="19" t="s">
        <v>791</v>
      </c>
      <c r="F115" s="12" t="s">
        <v>1166</v>
      </c>
      <c r="G115" s="12" t="s">
        <v>1167</v>
      </c>
      <c r="H115" s="382" t="s">
        <v>1168</v>
      </c>
    </row>
    <row r="116" spans="1:8" ht="13.15" customHeight="1" x14ac:dyDescent="0.2">
      <c r="A116" s="380" t="s">
        <v>1169</v>
      </c>
      <c r="B116" s="12" t="s">
        <v>1165</v>
      </c>
      <c r="C116" s="19" t="s">
        <v>804</v>
      </c>
      <c r="D116" s="383">
        <v>156</v>
      </c>
      <c r="E116" s="19" t="s">
        <v>21</v>
      </c>
      <c r="F116" s="12" t="s">
        <v>1170</v>
      </c>
      <c r="G116" s="12" t="s">
        <v>1171</v>
      </c>
      <c r="H116" s="382" t="s">
        <v>1172</v>
      </c>
    </row>
    <row r="117" spans="1:8" x14ac:dyDescent="0.2">
      <c r="A117" s="380" t="s">
        <v>1173</v>
      </c>
      <c r="B117" s="12" t="s">
        <v>1116</v>
      </c>
      <c r="C117" s="19" t="s">
        <v>699</v>
      </c>
      <c r="D117" s="383">
        <v>158</v>
      </c>
      <c r="E117" s="19" t="s">
        <v>760</v>
      </c>
      <c r="F117" s="12" t="s">
        <v>1174</v>
      </c>
      <c r="G117" s="12" t="s">
        <v>1175</v>
      </c>
      <c r="H117" s="382" t="s">
        <v>1176</v>
      </c>
    </row>
    <row r="118" spans="1:8" ht="13.15" customHeight="1" x14ac:dyDescent="0.2">
      <c r="A118" s="380" t="s">
        <v>1177</v>
      </c>
      <c r="B118" s="12" t="s">
        <v>1116</v>
      </c>
      <c r="C118" s="19" t="s">
        <v>699</v>
      </c>
      <c r="D118" s="383">
        <v>159</v>
      </c>
      <c r="E118" s="19" t="s">
        <v>21</v>
      </c>
      <c r="F118" s="12" t="s">
        <v>1178</v>
      </c>
      <c r="G118" s="12" t="s">
        <v>1179</v>
      </c>
      <c r="H118" s="382" t="s">
        <v>1176</v>
      </c>
    </row>
    <row r="119" spans="1:8" ht="13.15" customHeight="1" x14ac:dyDescent="0.2">
      <c r="A119" s="380" t="s">
        <v>1180</v>
      </c>
      <c r="B119" s="12" t="s">
        <v>1116</v>
      </c>
      <c r="C119" s="19" t="s">
        <v>699</v>
      </c>
      <c r="D119" s="383">
        <v>160</v>
      </c>
      <c r="E119" s="19" t="s">
        <v>21</v>
      </c>
      <c r="F119" s="12" t="s">
        <v>1181</v>
      </c>
      <c r="G119" s="12" t="s">
        <v>1182</v>
      </c>
      <c r="H119" s="382" t="s">
        <v>1176</v>
      </c>
    </row>
    <row r="120" spans="1:8" ht="13.15" customHeight="1" x14ac:dyDescent="0.2">
      <c r="A120" s="380" t="s">
        <v>1183</v>
      </c>
      <c r="B120" s="12" t="s">
        <v>1116</v>
      </c>
      <c r="C120" s="19" t="s">
        <v>699</v>
      </c>
      <c r="D120" s="383">
        <v>161</v>
      </c>
      <c r="E120" s="19" t="s">
        <v>21</v>
      </c>
      <c r="F120" s="12" t="s">
        <v>1184</v>
      </c>
      <c r="G120" s="12" t="s">
        <v>1185</v>
      </c>
      <c r="H120" s="382" t="s">
        <v>1186</v>
      </c>
    </row>
    <row r="121" spans="1:8" x14ac:dyDescent="0.2">
      <c r="A121" s="380" t="s">
        <v>1187</v>
      </c>
      <c r="B121" s="12" t="s">
        <v>1116</v>
      </c>
      <c r="C121" s="19" t="s">
        <v>699</v>
      </c>
      <c r="D121" s="383">
        <v>162</v>
      </c>
      <c r="E121" s="19" t="s">
        <v>21</v>
      </c>
      <c r="F121" s="12" t="s">
        <v>1188</v>
      </c>
      <c r="G121" s="12" t="s">
        <v>1189</v>
      </c>
      <c r="H121" s="382" t="s">
        <v>1176</v>
      </c>
    </row>
    <row r="122" spans="1:8" ht="13.15" customHeight="1" x14ac:dyDescent="0.2">
      <c r="A122" s="380" t="s">
        <v>1190</v>
      </c>
      <c r="B122" s="12" t="s">
        <v>1191</v>
      </c>
      <c r="C122" s="19" t="s">
        <v>1079</v>
      </c>
      <c r="D122" s="383">
        <v>163</v>
      </c>
      <c r="E122" s="19" t="s">
        <v>718</v>
      </c>
      <c r="F122" s="12" t="s">
        <v>1192</v>
      </c>
      <c r="G122" s="12" t="s">
        <v>1193</v>
      </c>
      <c r="H122" s="382" t="s">
        <v>1194</v>
      </c>
    </row>
    <row r="123" spans="1:8" x14ac:dyDescent="0.2">
      <c r="A123" s="380" t="s">
        <v>1195</v>
      </c>
      <c r="B123" s="12" t="s">
        <v>1191</v>
      </c>
      <c r="C123" s="19" t="s">
        <v>1079</v>
      </c>
      <c r="D123" s="383">
        <v>164</v>
      </c>
      <c r="E123" s="19" t="s">
        <v>718</v>
      </c>
      <c r="F123" s="12" t="s">
        <v>1196</v>
      </c>
      <c r="G123" s="12" t="s">
        <v>1197</v>
      </c>
      <c r="H123" s="382" t="s">
        <v>1194</v>
      </c>
    </row>
    <row r="124" spans="1:8" ht="13.15" customHeight="1" x14ac:dyDescent="0.2">
      <c r="A124" s="380" t="s">
        <v>1198</v>
      </c>
      <c r="B124" s="12" t="s">
        <v>1135</v>
      </c>
      <c r="C124" s="19" t="s">
        <v>699</v>
      </c>
      <c r="D124" s="381">
        <v>165</v>
      </c>
      <c r="E124" s="19" t="s">
        <v>700</v>
      </c>
      <c r="F124" s="12" t="s">
        <v>1199</v>
      </c>
      <c r="G124" s="12" t="s">
        <v>1200</v>
      </c>
      <c r="H124" s="382" t="s">
        <v>1201</v>
      </c>
    </row>
    <row r="125" spans="1:8" ht="13.15" customHeight="1" x14ac:dyDescent="0.2">
      <c r="A125" s="380" t="s">
        <v>1202</v>
      </c>
      <c r="B125" s="12" t="s">
        <v>1135</v>
      </c>
      <c r="C125" s="19" t="s">
        <v>699</v>
      </c>
      <c r="D125" s="381">
        <v>166</v>
      </c>
      <c r="E125" s="19" t="s">
        <v>700</v>
      </c>
      <c r="F125" s="12" t="s">
        <v>1203</v>
      </c>
      <c r="G125" s="12" t="s">
        <v>1204</v>
      </c>
      <c r="H125" s="382" t="s">
        <v>1201</v>
      </c>
    </row>
    <row r="126" spans="1:8" ht="13.15" customHeight="1" x14ac:dyDescent="0.2">
      <c r="A126" s="380" t="s">
        <v>1205</v>
      </c>
      <c r="B126" s="12" t="s">
        <v>1135</v>
      </c>
      <c r="C126" s="19" t="s">
        <v>699</v>
      </c>
      <c r="D126" s="381">
        <v>167</v>
      </c>
      <c r="E126" s="19" t="s">
        <v>700</v>
      </c>
      <c r="F126" s="12" t="s">
        <v>1206</v>
      </c>
      <c r="G126" s="12" t="s">
        <v>1207</v>
      </c>
      <c r="H126" s="382" t="s">
        <v>1208</v>
      </c>
    </row>
    <row r="127" spans="1:8" ht="13.15" customHeight="1" x14ac:dyDescent="0.2">
      <c r="A127" s="386" t="s">
        <v>1209</v>
      </c>
      <c r="B127" s="61" t="s">
        <v>1210</v>
      </c>
      <c r="C127" s="54" t="s">
        <v>755</v>
      </c>
      <c r="D127" s="383">
        <v>168</v>
      </c>
      <c r="E127" s="54" t="s">
        <v>21</v>
      </c>
      <c r="F127" s="61" t="s">
        <v>1211</v>
      </c>
      <c r="G127" s="61" t="s">
        <v>1212</v>
      </c>
      <c r="H127" s="387" t="s">
        <v>1213</v>
      </c>
    </row>
    <row r="128" spans="1:8" ht="13.15" customHeight="1" x14ac:dyDescent="0.2">
      <c r="A128" s="380" t="s">
        <v>1214</v>
      </c>
      <c r="B128" s="12" t="s">
        <v>1215</v>
      </c>
      <c r="C128" s="19" t="s">
        <v>804</v>
      </c>
      <c r="D128" s="383">
        <v>169</v>
      </c>
      <c r="E128" s="19" t="s">
        <v>760</v>
      </c>
      <c r="F128" s="12" t="s">
        <v>1216</v>
      </c>
      <c r="G128" s="12" t="s">
        <v>1217</v>
      </c>
      <c r="H128" s="382" t="s">
        <v>1213</v>
      </c>
    </row>
    <row r="129" spans="1:8" ht="13.15" customHeight="1" x14ac:dyDescent="0.2">
      <c r="A129" s="380" t="s">
        <v>1218</v>
      </c>
      <c r="B129" s="12" t="s">
        <v>1215</v>
      </c>
      <c r="C129" s="19" t="s">
        <v>804</v>
      </c>
      <c r="D129" s="383">
        <v>170</v>
      </c>
      <c r="E129" s="19" t="s">
        <v>760</v>
      </c>
      <c r="F129" s="12" t="s">
        <v>1219</v>
      </c>
      <c r="G129" s="12" t="s">
        <v>1220</v>
      </c>
      <c r="H129" s="382" t="s">
        <v>1213</v>
      </c>
    </row>
    <row r="130" spans="1:8" ht="13.15" customHeight="1" x14ac:dyDescent="0.2">
      <c r="A130" s="380"/>
      <c r="B130" s="12" t="s">
        <v>58</v>
      </c>
      <c r="C130" s="19" t="s">
        <v>717</v>
      </c>
      <c r="D130" s="384">
        <v>171</v>
      </c>
      <c r="E130" s="19" t="s">
        <v>20</v>
      </c>
      <c r="F130" s="12"/>
      <c r="G130" s="12"/>
      <c r="H130" s="382"/>
    </row>
    <row r="131" spans="1:8" ht="13.15" customHeight="1" x14ac:dyDescent="0.2">
      <c r="A131" s="380" t="s">
        <v>1221</v>
      </c>
      <c r="B131" s="12" t="s">
        <v>1222</v>
      </c>
      <c r="C131" s="19" t="s">
        <v>717</v>
      </c>
      <c r="D131" s="384">
        <v>172</v>
      </c>
      <c r="E131" s="19" t="s">
        <v>20</v>
      </c>
      <c r="F131" s="12"/>
      <c r="G131" s="12" t="s">
        <v>1223</v>
      </c>
      <c r="H131" s="382" t="s">
        <v>1224</v>
      </c>
    </row>
    <row r="132" spans="1:8" x14ac:dyDescent="0.2">
      <c r="A132" s="386" t="s">
        <v>1225</v>
      </c>
      <c r="B132" s="61" t="s">
        <v>1226</v>
      </c>
      <c r="C132" s="54" t="s">
        <v>755</v>
      </c>
      <c r="D132" s="383">
        <v>202</v>
      </c>
      <c r="E132" s="54" t="s">
        <v>21</v>
      </c>
      <c r="F132" s="61" t="s">
        <v>1227</v>
      </c>
      <c r="G132" s="61" t="s">
        <v>1228</v>
      </c>
      <c r="H132" s="387" t="s">
        <v>1229</v>
      </c>
    </row>
    <row r="133" spans="1:8" ht="13.15" customHeight="1" x14ac:dyDescent="0.2">
      <c r="A133" s="386" t="s">
        <v>1230</v>
      </c>
      <c r="B133" s="61" t="s">
        <v>1231</v>
      </c>
      <c r="C133" s="54" t="s">
        <v>755</v>
      </c>
      <c r="D133" s="381">
        <v>203</v>
      </c>
      <c r="E133" s="19" t="s">
        <v>700</v>
      </c>
      <c r="F133" s="61" t="s">
        <v>1232</v>
      </c>
      <c r="G133" s="61" t="s">
        <v>1233</v>
      </c>
      <c r="H133" s="387" t="s">
        <v>1234</v>
      </c>
    </row>
    <row r="134" spans="1:8" ht="13.15" customHeight="1" x14ac:dyDescent="0.2">
      <c r="A134" s="380" t="s">
        <v>1235</v>
      </c>
      <c r="B134" s="12" t="s">
        <v>1236</v>
      </c>
      <c r="C134" s="19" t="s">
        <v>1079</v>
      </c>
      <c r="D134" s="381">
        <v>207</v>
      </c>
      <c r="E134" s="19" t="s">
        <v>700</v>
      </c>
      <c r="F134" s="12" t="s">
        <v>1237</v>
      </c>
      <c r="G134" s="12" t="s">
        <v>1238</v>
      </c>
      <c r="H134" s="382" t="s">
        <v>1239</v>
      </c>
    </row>
    <row r="135" spans="1:8" ht="13.15" customHeight="1" x14ac:dyDescent="0.2">
      <c r="A135" s="380" t="s">
        <v>1240</v>
      </c>
      <c r="B135" s="12" t="s">
        <v>855</v>
      </c>
      <c r="C135" s="19" t="s">
        <v>699</v>
      </c>
      <c r="D135" s="381">
        <v>208</v>
      </c>
      <c r="E135" s="19" t="s">
        <v>700</v>
      </c>
      <c r="F135" s="12" t="s">
        <v>1241</v>
      </c>
      <c r="G135" s="12" t="s">
        <v>1242</v>
      </c>
      <c r="H135" s="382" t="s">
        <v>1243</v>
      </c>
    </row>
    <row r="136" spans="1:8" ht="13.15" customHeight="1" x14ac:dyDescent="0.2">
      <c r="A136" s="380" t="s">
        <v>1244</v>
      </c>
      <c r="B136" s="12" t="s">
        <v>1245</v>
      </c>
      <c r="C136" s="19" t="s">
        <v>1079</v>
      </c>
      <c r="D136" s="381">
        <v>209</v>
      </c>
      <c r="E136" s="19" t="s">
        <v>700</v>
      </c>
      <c r="F136" s="12" t="s">
        <v>1246</v>
      </c>
      <c r="G136" s="12" t="s">
        <v>1247</v>
      </c>
      <c r="H136" s="382" t="s">
        <v>1248</v>
      </c>
    </row>
    <row r="137" spans="1:8" ht="13.15" customHeight="1" x14ac:dyDescent="0.2">
      <c r="A137" s="380" t="s">
        <v>1249</v>
      </c>
      <c r="B137" s="12" t="s">
        <v>1250</v>
      </c>
      <c r="C137" s="19" t="s">
        <v>699</v>
      </c>
      <c r="D137" s="381">
        <v>210</v>
      </c>
      <c r="E137" s="19" t="s">
        <v>700</v>
      </c>
      <c r="F137" s="53" t="s">
        <v>1251</v>
      </c>
      <c r="G137" s="12" t="s">
        <v>1252</v>
      </c>
      <c r="H137" s="382" t="s">
        <v>1253</v>
      </c>
    </row>
    <row r="138" spans="1:8" ht="13.15" customHeight="1" x14ac:dyDescent="0.2">
      <c r="A138" s="386" t="s">
        <v>1254</v>
      </c>
      <c r="B138" s="61" t="s">
        <v>1255</v>
      </c>
      <c r="C138" s="54" t="s">
        <v>968</v>
      </c>
      <c r="D138" s="381">
        <v>211</v>
      </c>
      <c r="E138" s="19" t="s">
        <v>700</v>
      </c>
      <c r="F138" s="61"/>
      <c r="G138" s="61"/>
      <c r="H138" s="387"/>
    </row>
    <row r="139" spans="1:8" ht="13.15" customHeight="1" x14ac:dyDescent="0.2">
      <c r="A139" s="380" t="s">
        <v>1256</v>
      </c>
      <c r="B139" s="12" t="s">
        <v>1257</v>
      </c>
      <c r="C139" s="19" t="s">
        <v>1079</v>
      </c>
      <c r="D139" s="381">
        <v>215</v>
      </c>
      <c r="E139" s="19" t="s">
        <v>700</v>
      </c>
      <c r="F139" s="12" t="s">
        <v>1258</v>
      </c>
      <c r="G139" s="12" t="s">
        <v>1259</v>
      </c>
      <c r="H139" s="382" t="s">
        <v>1260</v>
      </c>
    </row>
    <row r="140" spans="1:8" ht="13.15" customHeight="1" x14ac:dyDescent="0.2">
      <c r="A140" s="380" t="s">
        <v>1261</v>
      </c>
      <c r="B140" s="12" t="s">
        <v>765</v>
      </c>
      <c r="C140" s="19" t="s">
        <v>699</v>
      </c>
      <c r="D140" s="381">
        <v>217</v>
      </c>
      <c r="E140" s="19" t="s">
        <v>700</v>
      </c>
      <c r="F140" s="12" t="s">
        <v>1262</v>
      </c>
      <c r="G140" s="12" t="s">
        <v>1263</v>
      </c>
      <c r="H140" s="382" t="s">
        <v>1264</v>
      </c>
    </row>
    <row r="141" spans="1:8" ht="13.15" customHeight="1" x14ac:dyDescent="0.2">
      <c r="A141" s="380" t="s">
        <v>1265</v>
      </c>
      <c r="B141" s="12" t="s">
        <v>1266</v>
      </c>
      <c r="C141" s="19" t="s">
        <v>755</v>
      </c>
      <c r="D141" s="381">
        <v>218</v>
      </c>
      <c r="E141" s="19" t="s">
        <v>700</v>
      </c>
      <c r="F141" s="53" t="s">
        <v>1267</v>
      </c>
      <c r="G141" s="12" t="s">
        <v>1268</v>
      </c>
      <c r="H141" s="382" t="s">
        <v>1269</v>
      </c>
    </row>
    <row r="142" spans="1:8" ht="13.15" customHeight="1" x14ac:dyDescent="0.2">
      <c r="A142" s="380" t="s">
        <v>1270</v>
      </c>
      <c r="B142" s="12" t="s">
        <v>1135</v>
      </c>
      <c r="C142" s="19" t="s">
        <v>699</v>
      </c>
      <c r="D142" s="381">
        <v>220</v>
      </c>
      <c r="E142" s="19" t="s">
        <v>700</v>
      </c>
      <c r="F142" s="12" t="s">
        <v>1271</v>
      </c>
      <c r="G142" s="12" t="s">
        <v>1272</v>
      </c>
      <c r="H142" s="382" t="s">
        <v>1273</v>
      </c>
    </row>
    <row r="143" spans="1:8" ht="13.15" customHeight="1" x14ac:dyDescent="0.2">
      <c r="A143" s="380" t="s">
        <v>1274</v>
      </c>
      <c r="B143" s="12" t="s">
        <v>933</v>
      </c>
      <c r="C143" s="19" t="s">
        <v>717</v>
      </c>
      <c r="D143" s="381">
        <v>251</v>
      </c>
      <c r="E143" s="19" t="s">
        <v>700</v>
      </c>
      <c r="F143" s="12"/>
      <c r="G143" s="12" t="s">
        <v>1275</v>
      </c>
      <c r="H143" s="382" t="s">
        <v>1276</v>
      </c>
    </row>
    <row r="144" spans="1:8" ht="13.15" customHeight="1" x14ac:dyDescent="0.2">
      <c r="A144" s="380" t="s">
        <v>1277</v>
      </c>
      <c r="B144" s="12" t="s">
        <v>716</v>
      </c>
      <c r="C144" s="19" t="s">
        <v>717</v>
      </c>
      <c r="D144" s="381">
        <v>252</v>
      </c>
      <c r="E144" s="19" t="s">
        <v>700</v>
      </c>
      <c r="F144" s="12"/>
      <c r="G144" s="12" t="s">
        <v>1278</v>
      </c>
      <c r="H144" s="382" t="s">
        <v>1279</v>
      </c>
    </row>
    <row r="145" spans="1:8" ht="13.15" customHeight="1" x14ac:dyDescent="0.2">
      <c r="A145" s="380" t="s">
        <v>1280</v>
      </c>
      <c r="B145" s="12" t="s">
        <v>1281</v>
      </c>
      <c r="C145" s="19" t="s">
        <v>699</v>
      </c>
      <c r="D145" s="383">
        <v>253</v>
      </c>
      <c r="E145" s="19" t="s">
        <v>21</v>
      </c>
      <c r="F145" s="12" t="s">
        <v>1282</v>
      </c>
      <c r="G145" s="12" t="s">
        <v>1283</v>
      </c>
      <c r="H145" s="382" t="s">
        <v>1284</v>
      </c>
    </row>
    <row r="146" spans="1:8" ht="13.15" customHeight="1" x14ac:dyDescent="0.2">
      <c r="A146" s="380" t="s">
        <v>1285</v>
      </c>
      <c r="B146" s="12" t="s">
        <v>1281</v>
      </c>
      <c r="C146" s="19" t="s">
        <v>699</v>
      </c>
      <c r="D146" s="383">
        <v>254</v>
      </c>
      <c r="E146" s="19" t="s">
        <v>21</v>
      </c>
      <c r="F146" s="12" t="s">
        <v>1286</v>
      </c>
      <c r="G146" s="12" t="s">
        <v>1287</v>
      </c>
      <c r="H146" s="382" t="s">
        <v>1284</v>
      </c>
    </row>
    <row r="147" spans="1:8" ht="13.9" customHeight="1" x14ac:dyDescent="0.2">
      <c r="A147" s="380" t="s">
        <v>1288</v>
      </c>
      <c r="B147" s="12" t="s">
        <v>1289</v>
      </c>
      <c r="C147" s="19" t="s">
        <v>699</v>
      </c>
      <c r="D147" s="383">
        <v>255</v>
      </c>
      <c r="E147" s="19" t="s">
        <v>711</v>
      </c>
      <c r="F147" s="12" t="s">
        <v>1290</v>
      </c>
      <c r="G147" s="12" t="s">
        <v>1291</v>
      </c>
      <c r="H147" s="382" t="s">
        <v>1284</v>
      </c>
    </row>
    <row r="148" spans="1:8" ht="13.15" customHeight="1" x14ac:dyDescent="0.2">
      <c r="A148" s="380" t="s">
        <v>1292</v>
      </c>
      <c r="B148" s="12" t="s">
        <v>1281</v>
      </c>
      <c r="C148" s="19" t="s">
        <v>699</v>
      </c>
      <c r="D148" s="383">
        <v>256</v>
      </c>
      <c r="E148" s="19" t="s">
        <v>760</v>
      </c>
      <c r="F148" s="12" t="s">
        <v>1293</v>
      </c>
      <c r="G148" s="12" t="s">
        <v>1294</v>
      </c>
      <c r="H148" s="382" t="s">
        <v>1284</v>
      </c>
    </row>
    <row r="149" spans="1:8" ht="13.15" customHeight="1" x14ac:dyDescent="0.2">
      <c r="A149" s="380" t="s">
        <v>1295</v>
      </c>
      <c r="B149" s="12" t="s">
        <v>1281</v>
      </c>
      <c r="C149" s="19" t="s">
        <v>699</v>
      </c>
      <c r="D149" s="383">
        <v>257</v>
      </c>
      <c r="E149" s="19" t="s">
        <v>21</v>
      </c>
      <c r="F149" s="12" t="s">
        <v>1296</v>
      </c>
      <c r="G149" s="12" t="s">
        <v>1297</v>
      </c>
      <c r="H149" s="382" t="s">
        <v>1284</v>
      </c>
    </row>
    <row r="150" spans="1:8" x14ac:dyDescent="0.2">
      <c r="A150" s="380" t="s">
        <v>1298</v>
      </c>
      <c r="B150" s="12" t="s">
        <v>1299</v>
      </c>
      <c r="C150" s="19" t="s">
        <v>1079</v>
      </c>
      <c r="D150" s="383">
        <v>258</v>
      </c>
      <c r="E150" s="19" t="s">
        <v>718</v>
      </c>
      <c r="F150" s="12" t="s">
        <v>1300</v>
      </c>
      <c r="G150" s="12" t="s">
        <v>1301</v>
      </c>
      <c r="H150" s="382" t="s">
        <v>1284</v>
      </c>
    </row>
    <row r="151" spans="1:8" x14ac:dyDescent="0.2">
      <c r="A151" s="380" t="s">
        <v>1302</v>
      </c>
      <c r="B151" s="12" t="s">
        <v>1299</v>
      </c>
      <c r="C151" s="19" t="s">
        <v>1079</v>
      </c>
      <c r="D151" s="385">
        <v>259</v>
      </c>
      <c r="E151" s="19" t="s">
        <v>718</v>
      </c>
      <c r="F151" s="12" t="s">
        <v>1303</v>
      </c>
      <c r="G151" s="12" t="s">
        <v>1304</v>
      </c>
      <c r="H151" s="382" t="s">
        <v>1284</v>
      </c>
    </row>
    <row r="152" spans="1:8" ht="13.15" customHeight="1" x14ac:dyDescent="0.2">
      <c r="A152" s="380" t="s">
        <v>1305</v>
      </c>
      <c r="B152" s="12" t="s">
        <v>1306</v>
      </c>
      <c r="C152" s="19" t="s">
        <v>699</v>
      </c>
      <c r="D152" s="383">
        <v>260</v>
      </c>
      <c r="E152" s="19" t="s">
        <v>20</v>
      </c>
      <c r="F152" s="12" t="s">
        <v>1307</v>
      </c>
      <c r="G152" s="12" t="s">
        <v>1308</v>
      </c>
      <c r="H152" s="382" t="s">
        <v>1309</v>
      </c>
    </row>
    <row r="153" spans="1:8" ht="13.15" customHeight="1" x14ac:dyDescent="0.2">
      <c r="A153" s="380" t="s">
        <v>1310</v>
      </c>
      <c r="B153" s="12" t="s">
        <v>1306</v>
      </c>
      <c r="C153" s="19" t="s">
        <v>699</v>
      </c>
      <c r="D153" s="383">
        <v>261</v>
      </c>
      <c r="E153" s="19" t="s">
        <v>20</v>
      </c>
      <c r="F153" s="12" t="s">
        <v>1311</v>
      </c>
      <c r="G153" s="12" t="s">
        <v>1312</v>
      </c>
      <c r="H153" s="382" t="s">
        <v>1309</v>
      </c>
    </row>
    <row r="154" spans="1:8" ht="13.15" customHeight="1" x14ac:dyDescent="0.2">
      <c r="A154" s="380" t="s">
        <v>1313</v>
      </c>
      <c r="B154" s="12" t="s">
        <v>1306</v>
      </c>
      <c r="C154" s="19" t="s">
        <v>699</v>
      </c>
      <c r="D154" s="383">
        <v>262</v>
      </c>
      <c r="E154" s="19" t="s">
        <v>20</v>
      </c>
      <c r="F154" s="12" t="s">
        <v>1314</v>
      </c>
      <c r="G154" s="12" t="s">
        <v>1315</v>
      </c>
      <c r="H154" s="382" t="s">
        <v>1309</v>
      </c>
    </row>
    <row r="155" spans="1:8" ht="13.15" customHeight="1" x14ac:dyDescent="0.2">
      <c r="A155" s="380" t="s">
        <v>1316</v>
      </c>
      <c r="B155" s="12" t="s">
        <v>1306</v>
      </c>
      <c r="C155" s="19" t="s">
        <v>699</v>
      </c>
      <c r="D155" s="383">
        <v>263</v>
      </c>
      <c r="E155" s="19" t="s">
        <v>20</v>
      </c>
      <c r="F155" s="12" t="s">
        <v>1317</v>
      </c>
      <c r="G155" s="12" t="s">
        <v>1318</v>
      </c>
      <c r="H155" s="382" t="s">
        <v>1309</v>
      </c>
    </row>
    <row r="156" spans="1:8" ht="13.15" customHeight="1" x14ac:dyDescent="0.2">
      <c r="A156" s="380" t="s">
        <v>1319</v>
      </c>
      <c r="B156" s="12" t="s">
        <v>86</v>
      </c>
      <c r="C156" s="54" t="s">
        <v>968</v>
      </c>
      <c r="D156" s="384">
        <v>264</v>
      </c>
      <c r="E156" s="19" t="s">
        <v>21</v>
      </c>
      <c r="F156" s="12"/>
      <c r="G156" s="12"/>
      <c r="H156" s="382"/>
    </row>
    <row r="157" spans="1:8" ht="13.15" customHeight="1" x14ac:dyDescent="0.2">
      <c r="A157" s="380" t="s">
        <v>1320</v>
      </c>
      <c r="B157" s="12" t="s">
        <v>86</v>
      </c>
      <c r="C157" s="54" t="s">
        <v>968</v>
      </c>
      <c r="D157" s="384">
        <v>265</v>
      </c>
      <c r="E157" s="19" t="s">
        <v>21</v>
      </c>
      <c r="F157" s="12"/>
      <c r="G157" s="12"/>
      <c r="H157" s="382"/>
    </row>
    <row r="158" spans="1:8" ht="13.15" customHeight="1" x14ac:dyDescent="0.2">
      <c r="A158" s="380" t="s">
        <v>1321</v>
      </c>
      <c r="B158" s="12" t="s">
        <v>86</v>
      </c>
      <c r="C158" s="54" t="s">
        <v>968</v>
      </c>
      <c r="D158" s="384">
        <v>266</v>
      </c>
      <c r="E158" s="19" t="s">
        <v>21</v>
      </c>
      <c r="F158" s="12"/>
      <c r="G158" s="12"/>
      <c r="H158" s="382"/>
    </row>
    <row r="159" spans="1:8" ht="13.15" customHeight="1" x14ac:dyDescent="0.2">
      <c r="A159" s="380" t="s">
        <v>1322</v>
      </c>
      <c r="B159" s="12" t="s">
        <v>86</v>
      </c>
      <c r="C159" s="54" t="s">
        <v>968</v>
      </c>
      <c r="D159" s="384">
        <v>267</v>
      </c>
      <c r="E159" s="19" t="s">
        <v>21</v>
      </c>
      <c r="F159" s="12"/>
      <c r="G159" s="12"/>
      <c r="H159" s="382"/>
    </row>
    <row r="160" spans="1:8" ht="13.15" customHeight="1" x14ac:dyDescent="0.2">
      <c r="A160" s="380" t="s">
        <v>1323</v>
      </c>
      <c r="B160" s="12" t="s">
        <v>1324</v>
      </c>
      <c r="C160" s="19" t="s">
        <v>755</v>
      </c>
      <c r="D160" s="389">
        <v>310</v>
      </c>
      <c r="E160" s="19" t="s">
        <v>1325</v>
      </c>
      <c r="F160" s="12" t="s">
        <v>1326</v>
      </c>
      <c r="G160" s="12" t="s">
        <v>1327</v>
      </c>
      <c r="H160" s="382" t="s">
        <v>1328</v>
      </c>
    </row>
    <row r="161" spans="1:8" ht="13.15" customHeight="1" x14ac:dyDescent="0.2">
      <c r="A161" s="380" t="s">
        <v>1329</v>
      </c>
      <c r="B161" s="12" t="s">
        <v>1330</v>
      </c>
      <c r="C161" s="19" t="s">
        <v>699</v>
      </c>
      <c r="D161" s="389">
        <v>311</v>
      </c>
      <c r="E161" s="19" t="s">
        <v>1325</v>
      </c>
      <c r="F161" s="12" t="s">
        <v>1331</v>
      </c>
      <c r="G161" s="12" t="s">
        <v>1332</v>
      </c>
      <c r="H161" s="382" t="s">
        <v>1333</v>
      </c>
    </row>
    <row r="162" spans="1:8" ht="13.15" customHeight="1" x14ac:dyDescent="0.2">
      <c r="A162" s="380" t="s">
        <v>1334</v>
      </c>
      <c r="B162" s="12" t="s">
        <v>1335</v>
      </c>
      <c r="C162" s="19" t="s">
        <v>699</v>
      </c>
      <c r="D162" s="381">
        <v>313</v>
      </c>
      <c r="E162" s="19" t="s">
        <v>700</v>
      </c>
      <c r="F162" s="12" t="s">
        <v>1336</v>
      </c>
      <c r="G162" s="12" t="s">
        <v>1337</v>
      </c>
      <c r="H162" s="382" t="s">
        <v>867</v>
      </c>
    </row>
    <row r="163" spans="1:8" ht="13.15" customHeight="1" x14ac:dyDescent="0.2">
      <c r="A163" s="380" t="s">
        <v>1338</v>
      </c>
      <c r="B163" s="12" t="s">
        <v>1116</v>
      </c>
      <c r="C163" s="19" t="s">
        <v>699</v>
      </c>
      <c r="D163" s="389">
        <v>314</v>
      </c>
      <c r="E163" s="19" t="s">
        <v>1325</v>
      </c>
      <c r="F163" s="53" t="s">
        <v>1339</v>
      </c>
      <c r="G163" s="12" t="s">
        <v>1340</v>
      </c>
      <c r="H163" s="382" t="s">
        <v>1341</v>
      </c>
    </row>
    <row r="164" spans="1:8" ht="13.9" customHeight="1" x14ac:dyDescent="0.2">
      <c r="A164" s="380" t="s">
        <v>1342</v>
      </c>
      <c r="B164" s="12" t="s">
        <v>1116</v>
      </c>
      <c r="C164" s="19" t="s">
        <v>699</v>
      </c>
      <c r="D164" s="389">
        <v>315</v>
      </c>
      <c r="E164" s="19" t="s">
        <v>1325</v>
      </c>
      <c r="F164" s="53" t="s">
        <v>1343</v>
      </c>
      <c r="G164" s="12" t="s">
        <v>1344</v>
      </c>
      <c r="H164" s="382" t="s">
        <v>1345</v>
      </c>
    </row>
    <row r="165" spans="1:8" ht="13.15" customHeight="1" x14ac:dyDescent="0.2">
      <c r="A165" s="380" t="s">
        <v>1346</v>
      </c>
      <c r="B165" s="12" t="s">
        <v>929</v>
      </c>
      <c r="C165" s="19" t="s">
        <v>717</v>
      </c>
      <c r="D165" s="381">
        <v>316</v>
      </c>
      <c r="E165" s="19" t="s">
        <v>700</v>
      </c>
      <c r="F165" s="53" t="s">
        <v>1347</v>
      </c>
      <c r="G165" s="12" t="s">
        <v>1348</v>
      </c>
      <c r="H165" s="382" t="s">
        <v>1349</v>
      </c>
    </row>
    <row r="166" spans="1:8" ht="13.15" customHeight="1" x14ac:dyDescent="0.2">
      <c r="A166" s="380" t="s">
        <v>1350</v>
      </c>
      <c r="B166" s="12" t="s">
        <v>1351</v>
      </c>
      <c r="C166" s="19" t="s">
        <v>717</v>
      </c>
      <c r="D166" s="389">
        <v>317</v>
      </c>
      <c r="E166" s="19" t="s">
        <v>1325</v>
      </c>
      <c r="F166" s="12"/>
      <c r="G166" s="12" t="s">
        <v>1352</v>
      </c>
      <c r="H166" s="382" t="s">
        <v>1353</v>
      </c>
    </row>
    <row r="167" spans="1:8" ht="13.15" customHeight="1" x14ac:dyDescent="0.2">
      <c r="A167" s="380" t="s">
        <v>1354</v>
      </c>
      <c r="B167" s="12" t="s">
        <v>1355</v>
      </c>
      <c r="C167" s="19" t="s">
        <v>755</v>
      </c>
      <c r="D167" s="389">
        <v>318</v>
      </c>
      <c r="E167" s="19" t="s">
        <v>1325</v>
      </c>
      <c r="F167" s="53" t="s">
        <v>1356</v>
      </c>
      <c r="G167" s="12" t="s">
        <v>1357</v>
      </c>
      <c r="H167" s="382" t="s">
        <v>1358</v>
      </c>
    </row>
    <row r="168" spans="1:8" ht="13.15" customHeight="1" x14ac:dyDescent="0.2">
      <c r="A168" s="380" t="s">
        <v>1359</v>
      </c>
      <c r="B168" s="12" t="s">
        <v>1360</v>
      </c>
      <c r="C168" s="19" t="s">
        <v>699</v>
      </c>
      <c r="D168" s="381">
        <v>319</v>
      </c>
      <c r="E168" s="19" t="s">
        <v>700</v>
      </c>
      <c r="F168" s="12">
        <v>62779</v>
      </c>
      <c r="G168" s="12">
        <v>733964</v>
      </c>
      <c r="H168" s="382" t="s">
        <v>1361</v>
      </c>
    </row>
    <row r="169" spans="1:8" ht="13.15" customHeight="1" x14ac:dyDescent="0.2">
      <c r="A169" s="380" t="s">
        <v>1362</v>
      </c>
      <c r="B169" s="12" t="s">
        <v>1257</v>
      </c>
      <c r="C169" s="19" t="s">
        <v>1079</v>
      </c>
      <c r="D169" s="389">
        <v>320</v>
      </c>
      <c r="E169" s="19" t="s">
        <v>1325</v>
      </c>
      <c r="F169" s="12" t="s">
        <v>1363</v>
      </c>
      <c r="G169" s="12" t="s">
        <v>1364</v>
      </c>
      <c r="H169" s="382" t="s">
        <v>1365</v>
      </c>
    </row>
    <row r="170" spans="1:8" ht="13.15" customHeight="1" x14ac:dyDescent="0.2">
      <c r="A170" s="380" t="s">
        <v>1366</v>
      </c>
      <c r="B170" s="12" t="s">
        <v>16</v>
      </c>
      <c r="C170" s="19" t="s">
        <v>717</v>
      </c>
      <c r="D170" s="389">
        <v>321</v>
      </c>
      <c r="E170" s="19" t="s">
        <v>1325</v>
      </c>
      <c r="F170" s="12"/>
      <c r="G170" s="53" t="s">
        <v>1367</v>
      </c>
      <c r="H170" s="382" t="s">
        <v>1368</v>
      </c>
    </row>
    <row r="171" spans="1:8" ht="13.15" customHeight="1" x14ac:dyDescent="0.2">
      <c r="A171" s="380" t="s">
        <v>1369</v>
      </c>
      <c r="B171" s="12" t="s">
        <v>16</v>
      </c>
      <c r="C171" s="19" t="s">
        <v>717</v>
      </c>
      <c r="D171" s="389">
        <v>322</v>
      </c>
      <c r="E171" s="19" t="s">
        <v>1325</v>
      </c>
      <c r="F171" s="12"/>
      <c r="G171" s="53" t="s">
        <v>1370</v>
      </c>
      <c r="H171" s="382" t="s">
        <v>1371</v>
      </c>
    </row>
    <row r="172" spans="1:8" ht="13.15" customHeight="1" x14ac:dyDescent="0.2">
      <c r="A172" s="380" t="s">
        <v>1372</v>
      </c>
      <c r="B172" s="12" t="s">
        <v>1330</v>
      </c>
      <c r="C172" s="19" t="s">
        <v>699</v>
      </c>
      <c r="D172" s="389">
        <v>323</v>
      </c>
      <c r="E172" s="19" t="s">
        <v>1325</v>
      </c>
      <c r="F172" s="12" t="s">
        <v>1373</v>
      </c>
      <c r="G172" s="12" t="s">
        <v>1374</v>
      </c>
      <c r="H172" s="382" t="s">
        <v>1375</v>
      </c>
    </row>
    <row r="173" spans="1:8" ht="13.15" customHeight="1" x14ac:dyDescent="0.2">
      <c r="A173" s="380" t="s">
        <v>1376</v>
      </c>
      <c r="B173" s="12" t="s">
        <v>1377</v>
      </c>
      <c r="C173" s="19" t="s">
        <v>717</v>
      </c>
      <c r="D173" s="389">
        <v>324</v>
      </c>
      <c r="E173" s="19" t="s">
        <v>1325</v>
      </c>
      <c r="F173" s="12"/>
      <c r="G173" s="12" t="s">
        <v>1378</v>
      </c>
      <c r="H173" s="382" t="s">
        <v>1379</v>
      </c>
    </row>
    <row r="174" spans="1:8" ht="13.15" customHeight="1" x14ac:dyDescent="0.2">
      <c r="A174" s="380" t="s">
        <v>1380</v>
      </c>
      <c r="B174" s="12" t="s">
        <v>1381</v>
      </c>
      <c r="C174" s="19" t="s">
        <v>699</v>
      </c>
      <c r="D174" s="381">
        <v>325</v>
      </c>
      <c r="E174" s="19" t="s">
        <v>700</v>
      </c>
      <c r="F174" s="12" t="s">
        <v>1382</v>
      </c>
      <c r="G174" s="12" t="s">
        <v>1383</v>
      </c>
      <c r="H174" s="382" t="s">
        <v>1253</v>
      </c>
    </row>
    <row r="175" spans="1:8" ht="13.15" customHeight="1" x14ac:dyDescent="0.2">
      <c r="A175" s="380" t="s">
        <v>1384</v>
      </c>
      <c r="B175" s="12" t="s">
        <v>1385</v>
      </c>
      <c r="C175" s="54" t="s">
        <v>755</v>
      </c>
      <c r="D175" s="384">
        <v>328</v>
      </c>
      <c r="E175" s="19" t="s">
        <v>1145</v>
      </c>
      <c r="F175" s="12"/>
      <c r="G175" s="12"/>
      <c r="H175" s="382"/>
    </row>
    <row r="176" spans="1:8" ht="13.15" customHeight="1" x14ac:dyDescent="0.2">
      <c r="A176" s="380" t="s">
        <v>599</v>
      </c>
      <c r="B176" s="12" t="s">
        <v>1386</v>
      </c>
      <c r="C176" s="19" t="s">
        <v>256</v>
      </c>
      <c r="D176" s="384">
        <v>329</v>
      </c>
      <c r="E176" s="19" t="s">
        <v>1387</v>
      </c>
      <c r="F176" s="53" t="s">
        <v>1388</v>
      </c>
      <c r="G176" s="12" t="s">
        <v>1389</v>
      </c>
      <c r="H176" s="382" t="s">
        <v>1390</v>
      </c>
    </row>
    <row r="177" spans="1:8" ht="13.15" customHeight="1" x14ac:dyDescent="0.2">
      <c r="A177" s="380" t="s">
        <v>1391</v>
      </c>
      <c r="B177" s="12" t="s">
        <v>1392</v>
      </c>
      <c r="C177" s="19" t="s">
        <v>699</v>
      </c>
      <c r="D177" s="381">
        <v>400</v>
      </c>
      <c r="E177" s="19" t="s">
        <v>700</v>
      </c>
      <c r="F177" s="12" t="s">
        <v>1393</v>
      </c>
      <c r="G177" s="12" t="s">
        <v>1394</v>
      </c>
      <c r="H177" s="382" t="s">
        <v>1395</v>
      </c>
    </row>
    <row r="178" spans="1:8" ht="13.15" customHeight="1" x14ac:dyDescent="0.2">
      <c r="A178" s="380" t="s">
        <v>1396</v>
      </c>
      <c r="B178" s="12" t="s">
        <v>1397</v>
      </c>
      <c r="C178" s="19" t="s">
        <v>740</v>
      </c>
      <c r="D178" s="381">
        <v>401</v>
      </c>
      <c r="E178" s="19" t="s">
        <v>700</v>
      </c>
      <c r="F178" s="53" t="s">
        <v>1398</v>
      </c>
      <c r="G178" s="53" t="s">
        <v>1399</v>
      </c>
      <c r="H178" s="382" t="s">
        <v>1400</v>
      </c>
    </row>
    <row r="179" spans="1:8" ht="13.9" customHeight="1" x14ac:dyDescent="0.2">
      <c r="A179" s="380" t="s">
        <v>1401</v>
      </c>
      <c r="B179" s="12" t="s">
        <v>1397</v>
      </c>
      <c r="C179" s="19" t="s">
        <v>740</v>
      </c>
      <c r="D179" s="381">
        <v>402</v>
      </c>
      <c r="E179" s="19" t="s">
        <v>700</v>
      </c>
      <c r="F179" s="12" t="s">
        <v>1402</v>
      </c>
      <c r="G179" s="12" t="s">
        <v>1403</v>
      </c>
      <c r="H179" s="382" t="s">
        <v>1365</v>
      </c>
    </row>
    <row r="180" spans="1:8" ht="13.15" customHeight="1" x14ac:dyDescent="0.2">
      <c r="A180" s="380" t="s">
        <v>1404</v>
      </c>
      <c r="B180" s="12" t="s">
        <v>1053</v>
      </c>
      <c r="C180" s="19" t="s">
        <v>699</v>
      </c>
      <c r="D180" s="381">
        <v>403</v>
      </c>
      <c r="E180" s="19" t="s">
        <v>700</v>
      </c>
      <c r="F180" s="12" t="s">
        <v>1405</v>
      </c>
      <c r="G180" s="12" t="s">
        <v>1406</v>
      </c>
      <c r="H180" s="382" t="s">
        <v>1407</v>
      </c>
    </row>
    <row r="181" spans="1:8" ht="13.15" customHeight="1" x14ac:dyDescent="0.2">
      <c r="A181" s="380" t="s">
        <v>1408</v>
      </c>
      <c r="B181" s="12" t="s">
        <v>860</v>
      </c>
      <c r="C181" s="19" t="s">
        <v>699</v>
      </c>
      <c r="D181" s="381">
        <v>404</v>
      </c>
      <c r="E181" s="19" t="s">
        <v>700</v>
      </c>
      <c r="F181" s="12" t="s">
        <v>1409</v>
      </c>
      <c r="G181" s="12" t="s">
        <v>1410</v>
      </c>
      <c r="H181" s="382" t="s">
        <v>1411</v>
      </c>
    </row>
    <row r="182" spans="1:8" ht="13.15" customHeight="1" x14ac:dyDescent="0.2">
      <c r="A182" s="380" t="s">
        <v>1412</v>
      </c>
      <c r="B182" s="12" t="s">
        <v>716</v>
      </c>
      <c r="C182" s="19" t="s">
        <v>717</v>
      </c>
      <c r="D182" s="384">
        <v>405</v>
      </c>
      <c r="E182" s="19" t="s">
        <v>791</v>
      </c>
      <c r="F182" s="12"/>
      <c r="G182" s="12" t="s">
        <v>1413</v>
      </c>
      <c r="H182" s="382" t="s">
        <v>1414</v>
      </c>
    </row>
    <row r="183" spans="1:8" ht="13.15" customHeight="1" x14ac:dyDescent="0.2">
      <c r="A183" s="380" t="s">
        <v>1415</v>
      </c>
      <c r="B183" s="12" t="s">
        <v>1416</v>
      </c>
      <c r="C183" s="19" t="s">
        <v>699</v>
      </c>
      <c r="D183" s="381">
        <v>406</v>
      </c>
      <c r="E183" s="19" t="s">
        <v>700</v>
      </c>
      <c r="F183" s="12" t="s">
        <v>1417</v>
      </c>
      <c r="G183" s="12" t="s">
        <v>1418</v>
      </c>
      <c r="H183" s="382" t="s">
        <v>1419</v>
      </c>
    </row>
    <row r="184" spans="1:8" ht="13.9" customHeight="1" x14ac:dyDescent="0.2">
      <c r="A184" s="380" t="s">
        <v>1420</v>
      </c>
      <c r="B184" s="12" t="s">
        <v>1421</v>
      </c>
      <c r="C184" s="19" t="s">
        <v>1079</v>
      </c>
      <c r="D184" s="381">
        <v>407</v>
      </c>
      <c r="E184" s="19" t="s">
        <v>700</v>
      </c>
      <c r="F184" s="12" t="s">
        <v>1422</v>
      </c>
      <c r="G184" s="12" t="s">
        <v>1423</v>
      </c>
      <c r="H184" s="382" t="s">
        <v>1253</v>
      </c>
    </row>
    <row r="185" spans="1:8" ht="13.15" customHeight="1" x14ac:dyDescent="0.2">
      <c r="A185" s="380" t="s">
        <v>1424</v>
      </c>
      <c r="B185" s="12" t="s">
        <v>1144</v>
      </c>
      <c r="C185" s="19" t="s">
        <v>740</v>
      </c>
      <c r="D185" s="384">
        <v>408</v>
      </c>
      <c r="E185" s="19" t="s">
        <v>791</v>
      </c>
      <c r="F185" s="53" t="s">
        <v>1425</v>
      </c>
      <c r="G185" s="12" t="s">
        <v>1426</v>
      </c>
      <c r="H185" s="382" t="s">
        <v>1427</v>
      </c>
    </row>
    <row r="186" spans="1:8" ht="13.15" customHeight="1" x14ac:dyDescent="0.2">
      <c r="A186" s="380" t="s">
        <v>1428</v>
      </c>
      <c r="B186" s="12" t="s">
        <v>1429</v>
      </c>
      <c r="C186" s="19" t="s">
        <v>699</v>
      </c>
      <c r="D186" s="381">
        <v>409</v>
      </c>
      <c r="E186" s="19" t="s">
        <v>700</v>
      </c>
      <c r="F186" s="12" t="s">
        <v>1430</v>
      </c>
      <c r="G186" s="12" t="s">
        <v>1431</v>
      </c>
      <c r="H186" s="382" t="s">
        <v>1260</v>
      </c>
    </row>
    <row r="187" spans="1:8" ht="13.9" customHeight="1" x14ac:dyDescent="0.2">
      <c r="A187" s="386" t="s">
        <v>1432</v>
      </c>
      <c r="B187" s="61" t="s">
        <v>1433</v>
      </c>
      <c r="C187" s="54" t="s">
        <v>968</v>
      </c>
      <c r="D187" s="381">
        <v>410</v>
      </c>
      <c r="E187" s="19" t="s">
        <v>700</v>
      </c>
      <c r="F187" s="61"/>
      <c r="G187" s="61" t="s">
        <v>1434</v>
      </c>
      <c r="H187" s="387" t="s">
        <v>1435</v>
      </c>
    </row>
    <row r="188" spans="1:8" x14ac:dyDescent="0.2">
      <c r="A188" s="380" t="s">
        <v>133</v>
      </c>
      <c r="B188" s="12" t="s">
        <v>1436</v>
      </c>
      <c r="C188" s="390" t="s">
        <v>755</v>
      </c>
      <c r="D188" s="384">
        <v>411</v>
      </c>
      <c r="E188" s="388" t="s">
        <v>304</v>
      </c>
      <c r="F188" s="12" t="s">
        <v>1437</v>
      </c>
      <c r="G188" s="12" t="s">
        <v>1438</v>
      </c>
      <c r="H188" s="382" t="s">
        <v>1439</v>
      </c>
    </row>
    <row r="189" spans="1:8" x14ac:dyDescent="0.2">
      <c r="A189" s="380" t="s">
        <v>134</v>
      </c>
      <c r="B189" s="12" t="s">
        <v>1436</v>
      </c>
      <c r="C189" s="390" t="s">
        <v>755</v>
      </c>
      <c r="D189" s="384">
        <v>412</v>
      </c>
      <c r="E189" s="388" t="s">
        <v>304</v>
      </c>
      <c r="F189" s="12" t="s">
        <v>1440</v>
      </c>
      <c r="G189" s="12" t="s">
        <v>1441</v>
      </c>
      <c r="H189" s="382" t="s">
        <v>1442</v>
      </c>
    </row>
    <row r="190" spans="1:8" x14ac:dyDescent="0.2">
      <c r="A190" s="380" t="s">
        <v>135</v>
      </c>
      <c r="B190" s="12" t="s">
        <v>1436</v>
      </c>
      <c r="C190" s="390" t="s">
        <v>755</v>
      </c>
      <c r="D190" s="384">
        <v>413</v>
      </c>
      <c r="E190" s="388" t="s">
        <v>304</v>
      </c>
      <c r="F190" s="12" t="s">
        <v>1443</v>
      </c>
      <c r="G190" s="12" t="s">
        <v>1444</v>
      </c>
      <c r="H190" s="382" t="s">
        <v>1442</v>
      </c>
    </row>
    <row r="191" spans="1:8" x14ac:dyDescent="0.2">
      <c r="A191" s="380" t="s">
        <v>136</v>
      </c>
      <c r="B191" s="12" t="s">
        <v>1436</v>
      </c>
      <c r="C191" s="390" t="s">
        <v>755</v>
      </c>
      <c r="D191" s="384">
        <v>414</v>
      </c>
      <c r="E191" s="388" t="s">
        <v>304</v>
      </c>
      <c r="F191" s="12" t="s">
        <v>1445</v>
      </c>
      <c r="G191" s="12" t="s">
        <v>1446</v>
      </c>
      <c r="H191" s="382" t="s">
        <v>1447</v>
      </c>
    </row>
    <row r="192" spans="1:8" x14ac:dyDescent="0.2">
      <c r="A192" s="380" t="s">
        <v>137</v>
      </c>
      <c r="B192" s="12" t="s">
        <v>1436</v>
      </c>
      <c r="C192" s="390" t="s">
        <v>755</v>
      </c>
      <c r="D192" s="384">
        <v>415</v>
      </c>
      <c r="E192" s="388" t="s">
        <v>304</v>
      </c>
      <c r="F192" s="12" t="s">
        <v>1448</v>
      </c>
      <c r="G192" s="12" t="s">
        <v>1449</v>
      </c>
      <c r="H192" s="382" t="s">
        <v>1450</v>
      </c>
    </row>
    <row r="193" spans="1:8" x14ac:dyDescent="0.2">
      <c r="A193" s="380" t="s">
        <v>138</v>
      </c>
      <c r="B193" s="12" t="s">
        <v>1436</v>
      </c>
      <c r="C193" s="390" t="s">
        <v>755</v>
      </c>
      <c r="D193" s="384">
        <v>416</v>
      </c>
      <c r="E193" s="388" t="s">
        <v>304</v>
      </c>
      <c r="F193" s="12" t="s">
        <v>1451</v>
      </c>
      <c r="G193" s="12" t="s">
        <v>1452</v>
      </c>
      <c r="H193" s="382" t="s">
        <v>1450</v>
      </c>
    </row>
    <row r="194" spans="1:8" x14ac:dyDescent="0.2">
      <c r="A194" s="380" t="s">
        <v>1453</v>
      </c>
      <c r="B194" s="12" t="s">
        <v>1454</v>
      </c>
      <c r="C194" s="390" t="s">
        <v>755</v>
      </c>
      <c r="D194" s="384">
        <v>417</v>
      </c>
      <c r="E194" s="54"/>
      <c r="F194" s="12" t="s">
        <v>1455</v>
      </c>
      <c r="G194" s="12" t="s">
        <v>1456</v>
      </c>
      <c r="H194" s="382" t="s">
        <v>1457</v>
      </c>
    </row>
    <row r="195" spans="1:8" x14ac:dyDescent="0.2">
      <c r="A195" s="380" t="s">
        <v>1458</v>
      </c>
      <c r="B195" s="12" t="s">
        <v>1459</v>
      </c>
      <c r="C195" s="390" t="s">
        <v>755</v>
      </c>
      <c r="D195" s="384">
        <v>418</v>
      </c>
      <c r="E195" s="388" t="s">
        <v>304</v>
      </c>
      <c r="F195" s="12" t="s">
        <v>1460</v>
      </c>
      <c r="G195" s="12" t="s">
        <v>1461</v>
      </c>
      <c r="H195" s="382" t="s">
        <v>1457</v>
      </c>
    </row>
    <row r="196" spans="1:8" x14ac:dyDescent="0.2">
      <c r="A196" s="380" t="s">
        <v>1462</v>
      </c>
      <c r="B196" s="12" t="s">
        <v>1454</v>
      </c>
      <c r="C196" s="390" t="s">
        <v>755</v>
      </c>
      <c r="D196" s="384">
        <v>419</v>
      </c>
      <c r="E196" s="54"/>
      <c r="F196" s="12" t="s">
        <v>1463</v>
      </c>
      <c r="G196" s="12" t="s">
        <v>1464</v>
      </c>
      <c r="H196" s="382" t="s">
        <v>1457</v>
      </c>
    </row>
    <row r="197" spans="1:8" x14ac:dyDescent="0.2">
      <c r="A197" s="380" t="s">
        <v>238</v>
      </c>
      <c r="B197" s="12" t="s">
        <v>1465</v>
      </c>
      <c r="C197" s="390" t="s">
        <v>968</v>
      </c>
      <c r="D197" s="384">
        <v>420</v>
      </c>
      <c r="E197" s="388" t="s">
        <v>61</v>
      </c>
      <c r="F197" s="12" t="s">
        <v>1466</v>
      </c>
      <c r="G197" s="12" t="s">
        <v>1467</v>
      </c>
      <c r="H197" s="382" t="s">
        <v>1468</v>
      </c>
    </row>
    <row r="198" spans="1:8" ht="12" thickBot="1" x14ac:dyDescent="0.25">
      <c r="A198" s="391" t="s">
        <v>239</v>
      </c>
      <c r="B198" s="392" t="s">
        <v>1465</v>
      </c>
      <c r="C198" s="393" t="s">
        <v>968</v>
      </c>
      <c r="D198" s="394">
        <v>421</v>
      </c>
      <c r="E198" s="395" t="s">
        <v>61</v>
      </c>
      <c r="F198" s="392" t="s">
        <v>1469</v>
      </c>
      <c r="G198" s="392" t="s">
        <v>1470</v>
      </c>
      <c r="H198" s="396" t="s">
        <v>1468</v>
      </c>
    </row>
  </sheetData>
  <autoFilter ref="A1:AN198" xr:uid="{00000000-0009-0000-0000-000009000000}"/>
  <customSheetViews>
    <customSheetView guid="{85BAD813-6002-444C-94EE-85A3EFC799A5}" scale="90" showAutoFilter="1">
      <pane ySplit="2" topLeftCell="A162" activePane="bottomLeft" state="frozen"/>
      <selection pane="bottomLeft" activeCell="G210" sqref="G210"/>
      <pageMargins left="0" right="0" top="0" bottom="0" header="0.31496062992125984" footer="0.31496062992125984"/>
      <pageSetup paperSize="9" scale="90" orientation="portrait" r:id="rId1"/>
      <autoFilter ref="A1:AN198" xr:uid="{00000000-0009-0000-0000-000009000000}"/>
    </customSheetView>
    <customSheetView guid="{DF69299D-7752-4436-A45D-28F739CEE21B}" scale="90" showAutoFilter="1">
      <pane ySplit="2" topLeftCell="A162" activePane="bottomLeft" state="frozen"/>
      <selection pane="bottomLeft" activeCell="G210" sqref="G210"/>
      <pageMargins left="0" right="0" top="0" bottom="0" header="0.31496062992125984" footer="0.31496062992125984"/>
      <pageSetup paperSize="9" scale="90" orientation="portrait" r:id="rId2"/>
      <autoFilter ref="A1:AN198" xr:uid="{00000000-0000-0000-0000-000000000000}"/>
    </customSheetView>
    <customSheetView guid="{6C0BD6A7-6718-429D-82D9-D2FE0341EA2C}" scale="90" showAutoFilter="1">
      <pane ySplit="2" topLeftCell="A162" activePane="bottomLeft" state="frozen"/>
      <selection pane="bottomLeft" activeCell="B175" sqref="B175"/>
      <pageMargins left="0" right="0" top="0" bottom="0" header="0.31496062992125984" footer="0.31496062992125984"/>
      <pageSetup paperSize="9" scale="90" orientation="portrait" r:id="rId3"/>
      <autoFilter ref="A1:AN198" xr:uid="{00000000-0000-0000-0000-000000000000}"/>
    </customSheetView>
    <customSheetView guid="{594C4AB0-8D5F-4373-9663-410F4413FE3A}" scale="90" showPageBreaks="1" showAutoFilter="1">
      <pane ySplit="2" topLeftCell="A162" activePane="bottomLeft" state="frozen"/>
      <selection pane="bottomLeft" activeCell="G210" sqref="G210"/>
      <pageMargins left="0" right="0" top="0" bottom="0" header="0.31496062992125984" footer="0.31496062992125984"/>
      <pageSetup paperSize="9" scale="90" orientation="portrait" r:id="rId4"/>
      <autoFilter ref="A1:AN198" xr:uid="{00000000-0000-0000-0000-000000000000}"/>
    </customSheetView>
  </customSheetViews>
  <hyperlinks>
    <hyperlink ref="A1" location="DESCRIPTIONS!A1" display="desc" xr:uid="{00000000-0004-0000-0900-000000000000}"/>
  </hyperlinks>
  <pageMargins left="0" right="0" top="0" bottom="0" header="0.31496062992125984" footer="0.31496062992125984"/>
  <pageSetup paperSize="9" scale="90" orientation="portrait"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Y115"/>
  <sheetViews>
    <sheetView workbookViewId="0">
      <pane ySplit="2" topLeftCell="A72" activePane="bottomLeft" state="frozen"/>
      <selection pane="bottomLeft" activeCell="D13" sqref="D13"/>
    </sheetView>
  </sheetViews>
  <sheetFormatPr defaultColWidth="9.140625" defaultRowHeight="12.75" x14ac:dyDescent="0.2"/>
  <cols>
    <col min="1" max="1" width="11.140625" style="215" bestFit="1" customWidth="1"/>
    <col min="2" max="2" width="6.7109375" style="215" hidden="1" customWidth="1"/>
    <col min="3" max="3" width="30.140625" style="307" customWidth="1"/>
    <col min="4" max="4" width="7" style="319" bestFit="1" customWidth="1"/>
    <col min="5" max="5" width="11.140625" style="215" bestFit="1" customWidth="1"/>
    <col min="6" max="6" width="13.28515625" style="215" customWidth="1"/>
    <col min="7" max="7" width="14.5703125" style="215" customWidth="1"/>
    <col min="8" max="8" width="23.85546875" style="215" customWidth="1"/>
    <col min="9" max="9" width="15.5703125" style="216" customWidth="1"/>
    <col min="10" max="10" width="27" style="216" customWidth="1"/>
    <col min="11" max="11" width="23.5703125" style="273" customWidth="1"/>
    <col min="12" max="12" width="14.5703125" style="274" customWidth="1"/>
    <col min="13" max="15" width="12.140625" style="221" customWidth="1"/>
    <col min="16" max="16" width="13.28515625" style="221" customWidth="1"/>
    <col min="17" max="17" width="10" style="221" customWidth="1"/>
    <col min="18" max="18" width="10" style="368" customWidth="1"/>
    <col min="19" max="19" width="12.140625" style="296" customWidth="1"/>
    <col min="20" max="20" width="20.140625" style="221" customWidth="1"/>
    <col min="21" max="51" width="9.140625" style="221"/>
    <col min="52" max="16384" width="9.140625" style="215"/>
  </cols>
  <sheetData>
    <row r="1" spans="1:51" s="211" customFormat="1" x14ac:dyDescent="0.2">
      <c r="A1" s="202" t="s">
        <v>542</v>
      </c>
      <c r="B1" s="202" t="s">
        <v>288</v>
      </c>
      <c r="C1" s="298" t="s">
        <v>289</v>
      </c>
      <c r="D1" s="308" t="s">
        <v>244</v>
      </c>
      <c r="E1" s="202" t="s">
        <v>290</v>
      </c>
      <c r="F1" s="202" t="s">
        <v>291</v>
      </c>
      <c r="G1" s="202" t="s">
        <v>292</v>
      </c>
      <c r="H1" s="202"/>
      <c r="I1" s="203" t="s">
        <v>293</v>
      </c>
      <c r="J1" s="203" t="s">
        <v>294</v>
      </c>
      <c r="K1" s="204" t="s">
        <v>295</v>
      </c>
      <c r="L1" s="205" t="s">
        <v>296</v>
      </c>
      <c r="M1" s="206" t="s">
        <v>297</v>
      </c>
      <c r="N1" s="207" t="s">
        <v>298</v>
      </c>
      <c r="O1" s="208" t="s">
        <v>299</v>
      </c>
      <c r="P1" s="209" t="s">
        <v>300</v>
      </c>
      <c r="Q1" s="210" t="s">
        <v>301</v>
      </c>
      <c r="R1" s="297" t="s">
        <v>594</v>
      </c>
      <c r="S1" s="293" t="s">
        <v>590</v>
      </c>
      <c r="T1" s="210" t="s">
        <v>1488</v>
      </c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</row>
    <row r="2" spans="1:51" x14ac:dyDescent="0.2">
      <c r="A2" s="212" t="s">
        <v>333</v>
      </c>
      <c r="B2" s="212" t="s">
        <v>215</v>
      </c>
      <c r="C2" s="288" t="s">
        <v>636</v>
      </c>
      <c r="D2" s="309" t="s">
        <v>243</v>
      </c>
      <c r="E2" s="212" t="s">
        <v>302</v>
      </c>
      <c r="F2" s="213">
        <v>2931.11</v>
      </c>
      <c r="G2" s="214">
        <f>+F2*12</f>
        <v>35173.32</v>
      </c>
      <c r="H2" s="215" t="s">
        <v>306</v>
      </c>
      <c r="I2" s="216">
        <v>20000</v>
      </c>
      <c r="J2" s="216">
        <v>10774</v>
      </c>
      <c r="K2" s="217">
        <v>15000</v>
      </c>
      <c r="L2" s="281">
        <f>123023.68</f>
        <v>123023.67999999999</v>
      </c>
      <c r="M2" s="218">
        <f>+F2*12</f>
        <v>35173.32</v>
      </c>
      <c r="N2" s="219">
        <v>52842.92</v>
      </c>
      <c r="O2" s="220">
        <f>+L2*0.9/5</f>
        <v>22144.2624</v>
      </c>
      <c r="P2" s="221">
        <v>5269.45</v>
      </c>
      <c r="Q2" s="221">
        <f>239+36</f>
        <v>275</v>
      </c>
      <c r="R2" s="366" t="s">
        <v>589</v>
      </c>
      <c r="S2" s="289">
        <v>151283.22</v>
      </c>
    </row>
    <row r="3" spans="1:51" x14ac:dyDescent="0.2">
      <c r="A3" s="222" t="s">
        <v>303</v>
      </c>
      <c r="B3" s="222" t="s">
        <v>201</v>
      </c>
      <c r="C3" s="288" t="s">
        <v>637</v>
      </c>
      <c r="D3" s="310" t="s">
        <v>304</v>
      </c>
      <c r="E3" s="222" t="s">
        <v>305</v>
      </c>
      <c r="F3" s="223">
        <v>3684.87</v>
      </c>
      <c r="G3" s="223">
        <f t="shared" ref="G3:G28" si="0">+F3*12</f>
        <v>44218.44</v>
      </c>
      <c r="H3" s="224" t="s">
        <v>306</v>
      </c>
      <c r="I3" s="225">
        <v>30000</v>
      </c>
      <c r="J3" s="225">
        <v>13653</v>
      </c>
      <c r="K3" s="226">
        <v>15000</v>
      </c>
      <c r="L3" s="227">
        <v>163934.71</v>
      </c>
      <c r="M3" s="228">
        <f t="shared" ref="M3:M28" si="1">+F3*12</f>
        <v>44218.44</v>
      </c>
      <c r="N3" s="229">
        <v>11431.5</v>
      </c>
      <c r="O3" s="230">
        <f>+L3*0.9/5</f>
        <v>29508.247800000001</v>
      </c>
      <c r="P3" s="231">
        <v>5481.62</v>
      </c>
      <c r="Q3" s="221">
        <v>329</v>
      </c>
      <c r="R3" s="366" t="s">
        <v>564</v>
      </c>
      <c r="S3" s="289">
        <v>173124.44</v>
      </c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</row>
    <row r="4" spans="1:51" x14ac:dyDescent="0.2">
      <c r="A4" s="232" t="s">
        <v>307</v>
      </c>
      <c r="B4" s="232" t="s">
        <v>202</v>
      </c>
      <c r="C4" s="299" t="s">
        <v>638</v>
      </c>
      <c r="D4" s="310" t="s">
        <v>304</v>
      </c>
      <c r="E4" s="232" t="s">
        <v>308</v>
      </c>
      <c r="F4" s="233">
        <v>3596.62</v>
      </c>
      <c r="G4" s="233">
        <f t="shared" si="0"/>
        <v>43159.44</v>
      </c>
      <c r="H4" s="224" t="s">
        <v>306</v>
      </c>
      <c r="I4" s="225">
        <v>30000</v>
      </c>
      <c r="J4" s="225">
        <v>17962</v>
      </c>
      <c r="K4" s="226">
        <v>20000</v>
      </c>
      <c r="L4" s="227">
        <v>159552.98000000001</v>
      </c>
      <c r="M4" s="228">
        <f t="shared" si="1"/>
        <v>43159.44</v>
      </c>
      <c r="N4" s="229">
        <v>11248.84</v>
      </c>
      <c r="O4" s="230">
        <f t="shared" ref="O4:O28" si="2">+L4*0.9/5</f>
        <v>28719.536400000001</v>
      </c>
      <c r="P4" s="231">
        <v>5481.62</v>
      </c>
      <c r="Q4" s="221">
        <f t="shared" ref="Q4:Q28" si="3">293+36</f>
        <v>329</v>
      </c>
      <c r="R4" s="366" t="s">
        <v>565</v>
      </c>
      <c r="S4" s="289">
        <v>169141.04</v>
      </c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</row>
    <row r="5" spans="1:51" x14ac:dyDescent="0.2">
      <c r="A5" s="232" t="s">
        <v>309</v>
      </c>
      <c r="B5" s="232" t="s">
        <v>203</v>
      </c>
      <c r="C5" s="299" t="s">
        <v>638</v>
      </c>
      <c r="D5" s="311" t="s">
        <v>304</v>
      </c>
      <c r="E5" s="232" t="s">
        <v>308</v>
      </c>
      <c r="F5" s="233">
        <v>3596.62</v>
      </c>
      <c r="G5" s="233">
        <f t="shared" si="0"/>
        <v>43159.44</v>
      </c>
      <c r="H5" s="224" t="s">
        <v>306</v>
      </c>
      <c r="I5" s="225">
        <v>30000</v>
      </c>
      <c r="J5" s="225">
        <v>15653</v>
      </c>
      <c r="K5" s="226">
        <v>20000</v>
      </c>
      <c r="L5" s="227">
        <v>159552.98000000001</v>
      </c>
      <c r="M5" s="228">
        <f t="shared" si="1"/>
        <v>43159.44</v>
      </c>
      <c r="N5" s="229">
        <v>11248.84</v>
      </c>
      <c r="O5" s="230">
        <f t="shared" si="2"/>
        <v>28719.536400000001</v>
      </c>
      <c r="P5" s="231">
        <v>5481.62</v>
      </c>
      <c r="Q5" s="221">
        <f t="shared" si="3"/>
        <v>329</v>
      </c>
      <c r="R5" s="366" t="s">
        <v>566</v>
      </c>
      <c r="S5" s="289">
        <v>169141.04</v>
      </c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</row>
    <row r="6" spans="1:51" x14ac:dyDescent="0.2">
      <c r="A6" s="232" t="s">
        <v>311</v>
      </c>
      <c r="B6" s="232" t="s">
        <v>204</v>
      </c>
      <c r="C6" s="299" t="s">
        <v>638</v>
      </c>
      <c r="D6" s="311" t="s">
        <v>304</v>
      </c>
      <c r="E6" s="232" t="s">
        <v>308</v>
      </c>
      <c r="F6" s="233">
        <v>3596.62</v>
      </c>
      <c r="G6" s="233">
        <f t="shared" si="0"/>
        <v>43159.44</v>
      </c>
      <c r="H6" s="224" t="s">
        <v>306</v>
      </c>
      <c r="I6" s="225">
        <v>10000</v>
      </c>
      <c r="J6" s="225">
        <v>22564</v>
      </c>
      <c r="K6" s="226">
        <v>30000</v>
      </c>
      <c r="L6" s="227">
        <v>159552.98000000001</v>
      </c>
      <c r="M6" s="228">
        <f t="shared" si="1"/>
        <v>43159.44</v>
      </c>
      <c r="N6" s="229">
        <v>11248.84</v>
      </c>
      <c r="O6" s="230">
        <f t="shared" si="2"/>
        <v>28719.536400000001</v>
      </c>
      <c r="P6" s="231">
        <v>5481.62</v>
      </c>
      <c r="Q6" s="221">
        <f t="shared" si="3"/>
        <v>329</v>
      </c>
      <c r="R6" s="366" t="s">
        <v>567</v>
      </c>
      <c r="S6" s="289">
        <v>169141.04</v>
      </c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</row>
    <row r="7" spans="1:51" x14ac:dyDescent="0.2">
      <c r="A7" s="232" t="s">
        <v>326</v>
      </c>
      <c r="B7" s="232" t="s">
        <v>212</v>
      </c>
      <c r="C7" s="299" t="s">
        <v>638</v>
      </c>
      <c r="D7" s="310" t="s">
        <v>304</v>
      </c>
      <c r="E7" s="232" t="s">
        <v>308</v>
      </c>
      <c r="F7" s="233">
        <v>3596.62</v>
      </c>
      <c r="G7" s="233">
        <f t="shared" si="0"/>
        <v>43159.44</v>
      </c>
      <c r="H7" s="224" t="s">
        <v>306</v>
      </c>
      <c r="I7" s="225">
        <v>15000</v>
      </c>
      <c r="J7" s="225">
        <v>14521</v>
      </c>
      <c r="K7" s="226">
        <v>20000</v>
      </c>
      <c r="L7" s="227">
        <v>159552.98000000001</v>
      </c>
      <c r="M7" s="228">
        <f t="shared" si="1"/>
        <v>43159.44</v>
      </c>
      <c r="N7" s="229">
        <v>11248.84</v>
      </c>
      <c r="O7" s="230">
        <f t="shared" si="2"/>
        <v>28719.536400000001</v>
      </c>
      <c r="P7" s="231">
        <v>5481.62</v>
      </c>
      <c r="Q7" s="221">
        <f t="shared" si="3"/>
        <v>329</v>
      </c>
      <c r="R7" s="366" t="s">
        <v>568</v>
      </c>
      <c r="S7" s="289">
        <v>169141.04</v>
      </c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</row>
    <row r="8" spans="1:51" x14ac:dyDescent="0.2">
      <c r="A8" s="232" t="s">
        <v>403</v>
      </c>
      <c r="B8" s="232" t="s">
        <v>404</v>
      </c>
      <c r="C8" s="299" t="s">
        <v>638</v>
      </c>
      <c r="D8" s="310" t="s">
        <v>304</v>
      </c>
      <c r="E8" s="232" t="s">
        <v>308</v>
      </c>
      <c r="F8" s="233">
        <v>3596.62</v>
      </c>
      <c r="G8" s="233">
        <f t="shared" si="0"/>
        <v>43159.44</v>
      </c>
      <c r="H8" s="224" t="s">
        <v>306</v>
      </c>
      <c r="I8" s="225">
        <v>12000</v>
      </c>
      <c r="J8" s="225">
        <v>9812</v>
      </c>
      <c r="K8" s="226">
        <v>10000</v>
      </c>
      <c r="L8" s="227">
        <v>159552.98000000001</v>
      </c>
      <c r="M8" s="228">
        <f t="shared" si="1"/>
        <v>43159.44</v>
      </c>
      <c r="N8" s="229">
        <v>11248.84</v>
      </c>
      <c r="O8" s="230">
        <f t="shared" si="2"/>
        <v>28719.536400000001</v>
      </c>
      <c r="P8" s="231">
        <v>5481.62</v>
      </c>
      <c r="Q8" s="221">
        <f t="shared" si="3"/>
        <v>329</v>
      </c>
      <c r="R8" s="366" t="s">
        <v>569</v>
      </c>
      <c r="S8" s="289">
        <v>169141.04</v>
      </c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</row>
    <row r="9" spans="1:51" x14ac:dyDescent="0.2">
      <c r="A9" s="234" t="s">
        <v>316</v>
      </c>
      <c r="B9" s="235" t="s">
        <v>206</v>
      </c>
      <c r="C9" s="288" t="s">
        <v>639</v>
      </c>
      <c r="D9" s="312" t="s">
        <v>129</v>
      </c>
      <c r="E9" s="235" t="s">
        <v>317</v>
      </c>
      <c r="F9" s="236">
        <v>3437.09</v>
      </c>
      <c r="G9" s="236">
        <f t="shared" si="0"/>
        <v>41245.08</v>
      </c>
      <c r="H9" s="224" t="s">
        <v>306</v>
      </c>
      <c r="I9" s="225">
        <v>15000</v>
      </c>
      <c r="J9" s="225">
        <v>18162</v>
      </c>
      <c r="K9" s="226">
        <v>20000</v>
      </c>
      <c r="L9" s="227">
        <v>151632.72</v>
      </c>
      <c r="M9" s="228">
        <f t="shared" si="1"/>
        <v>41245.08</v>
      </c>
      <c r="N9" s="229">
        <v>10918.54</v>
      </c>
      <c r="O9" s="230">
        <f t="shared" si="2"/>
        <v>27293.889600000002</v>
      </c>
      <c r="P9" s="231">
        <v>5481.62</v>
      </c>
      <c r="Q9" s="221">
        <f t="shared" si="3"/>
        <v>329</v>
      </c>
      <c r="R9" s="366" t="s">
        <v>570</v>
      </c>
      <c r="S9" s="290">
        <v>161941.04</v>
      </c>
      <c r="T9" s="238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</row>
    <row r="10" spans="1:51" x14ac:dyDescent="0.2">
      <c r="A10" s="234" t="s">
        <v>319</v>
      </c>
      <c r="B10" s="235" t="s">
        <v>207</v>
      </c>
      <c r="C10" s="288" t="s">
        <v>639</v>
      </c>
      <c r="D10" s="312" t="s">
        <v>129</v>
      </c>
      <c r="E10" s="235" t="s">
        <v>317</v>
      </c>
      <c r="F10" s="236">
        <v>3437.09</v>
      </c>
      <c r="G10" s="236">
        <f t="shared" si="0"/>
        <v>41245.08</v>
      </c>
      <c r="H10" s="224" t="s">
        <v>306</v>
      </c>
      <c r="I10" s="225">
        <v>15000</v>
      </c>
      <c r="J10" s="225">
        <v>26638</v>
      </c>
      <c r="K10" s="226">
        <v>30000</v>
      </c>
      <c r="L10" s="227">
        <v>151632.72</v>
      </c>
      <c r="M10" s="228">
        <f t="shared" si="1"/>
        <v>41245.08</v>
      </c>
      <c r="N10" s="229">
        <v>10918.54</v>
      </c>
      <c r="O10" s="230">
        <f t="shared" si="2"/>
        <v>27293.889600000002</v>
      </c>
      <c r="P10" s="231">
        <v>5481.62</v>
      </c>
      <c r="Q10" s="221">
        <f t="shared" si="3"/>
        <v>329</v>
      </c>
      <c r="R10" s="366" t="s">
        <v>571</v>
      </c>
      <c r="S10" s="290">
        <v>161941.04</v>
      </c>
      <c r="T10" s="238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</row>
    <row r="11" spans="1:51" x14ac:dyDescent="0.2">
      <c r="A11" s="234" t="s">
        <v>320</v>
      </c>
      <c r="B11" s="235" t="s">
        <v>208</v>
      </c>
      <c r="C11" s="288" t="s">
        <v>644</v>
      </c>
      <c r="D11" s="312" t="s">
        <v>131</v>
      </c>
      <c r="E11" s="235" t="s">
        <v>317</v>
      </c>
      <c r="F11" s="236">
        <v>3437.09</v>
      </c>
      <c r="G11" s="236">
        <f t="shared" si="0"/>
        <v>41245.08</v>
      </c>
      <c r="H11" s="224" t="s">
        <v>306</v>
      </c>
      <c r="I11" s="225">
        <v>15000</v>
      </c>
      <c r="J11" s="225">
        <v>28293</v>
      </c>
      <c r="K11" s="226">
        <v>30000</v>
      </c>
      <c r="L11" s="227">
        <v>151632.72</v>
      </c>
      <c r="M11" s="228">
        <f t="shared" si="1"/>
        <v>41245.08</v>
      </c>
      <c r="N11" s="229">
        <v>10918.54</v>
      </c>
      <c r="O11" s="230">
        <f t="shared" si="2"/>
        <v>27293.889600000002</v>
      </c>
      <c r="P11" s="231">
        <v>5481.62</v>
      </c>
      <c r="Q11" s="221">
        <f t="shared" si="3"/>
        <v>329</v>
      </c>
      <c r="R11" s="366" t="s">
        <v>601</v>
      </c>
      <c r="S11" s="290">
        <v>161941.04</v>
      </c>
      <c r="T11" s="238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</row>
    <row r="12" spans="1:51" x14ac:dyDescent="0.2">
      <c r="A12" s="234" t="s">
        <v>322</v>
      </c>
      <c r="B12" s="235" t="s">
        <v>209</v>
      </c>
      <c r="C12" s="288" t="s">
        <v>1502</v>
      </c>
      <c r="D12" s="311" t="s">
        <v>1503</v>
      </c>
      <c r="E12" s="235" t="s">
        <v>317</v>
      </c>
      <c r="F12" s="236">
        <v>3437.09</v>
      </c>
      <c r="G12" s="236">
        <f t="shared" si="0"/>
        <v>41245.08</v>
      </c>
      <c r="H12" s="224" t="s">
        <v>306</v>
      </c>
      <c r="I12" s="225">
        <v>15000</v>
      </c>
      <c r="J12" s="225">
        <v>24417</v>
      </c>
      <c r="K12" s="226">
        <v>30000</v>
      </c>
      <c r="L12" s="227">
        <v>151632.72</v>
      </c>
      <c r="M12" s="228">
        <f t="shared" si="1"/>
        <v>41245.08</v>
      </c>
      <c r="N12" s="229">
        <v>10918.54</v>
      </c>
      <c r="O12" s="230">
        <f t="shared" si="2"/>
        <v>27293.889600000002</v>
      </c>
      <c r="P12" s="231">
        <v>5481.62</v>
      </c>
      <c r="Q12" s="221">
        <f t="shared" si="3"/>
        <v>329</v>
      </c>
      <c r="R12" s="366" t="s">
        <v>572</v>
      </c>
      <c r="S12" s="290">
        <v>161941.04</v>
      </c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</row>
    <row r="13" spans="1:51" x14ac:dyDescent="0.2">
      <c r="A13" s="234" t="s">
        <v>324</v>
      </c>
      <c r="B13" s="235" t="s">
        <v>210</v>
      </c>
      <c r="C13" s="288" t="s">
        <v>640</v>
      </c>
      <c r="D13" s="312" t="s">
        <v>130</v>
      </c>
      <c r="E13" s="235" t="s">
        <v>317</v>
      </c>
      <c r="F13" s="236">
        <v>3437.09</v>
      </c>
      <c r="G13" s="236">
        <f t="shared" si="0"/>
        <v>41245.08</v>
      </c>
      <c r="H13" s="224" t="s">
        <v>306</v>
      </c>
      <c r="I13" s="225">
        <v>15000</v>
      </c>
      <c r="J13" s="225">
        <v>65841</v>
      </c>
      <c r="K13" s="226">
        <v>70000</v>
      </c>
      <c r="L13" s="227">
        <v>151632.72</v>
      </c>
      <c r="M13" s="228">
        <f t="shared" si="1"/>
        <v>41245.08</v>
      </c>
      <c r="N13" s="229">
        <v>10918.54</v>
      </c>
      <c r="O13" s="230">
        <f t="shared" si="2"/>
        <v>27293.889600000002</v>
      </c>
      <c r="P13" s="231">
        <v>5481.62</v>
      </c>
      <c r="Q13" s="221">
        <f t="shared" si="3"/>
        <v>329</v>
      </c>
      <c r="R13" s="366" t="s">
        <v>573</v>
      </c>
      <c r="S13" s="290">
        <v>161941.04</v>
      </c>
      <c r="T13" s="238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</row>
    <row r="14" spans="1:51" x14ac:dyDescent="0.2">
      <c r="A14" s="234" t="s">
        <v>325</v>
      </c>
      <c r="B14" s="235" t="s">
        <v>211</v>
      </c>
      <c r="C14" s="288" t="s">
        <v>635</v>
      </c>
      <c r="D14" s="312" t="s">
        <v>115</v>
      </c>
      <c r="E14" s="235" t="s">
        <v>317</v>
      </c>
      <c r="F14" s="236">
        <v>3437.09</v>
      </c>
      <c r="G14" s="236">
        <f t="shared" si="0"/>
        <v>41245.08</v>
      </c>
      <c r="H14" s="224" t="s">
        <v>306</v>
      </c>
      <c r="I14" s="225">
        <v>30000</v>
      </c>
      <c r="J14" s="225">
        <v>35305</v>
      </c>
      <c r="K14" s="226">
        <v>40000</v>
      </c>
      <c r="L14" s="227">
        <v>151632.72</v>
      </c>
      <c r="M14" s="228">
        <f t="shared" si="1"/>
        <v>41245.08</v>
      </c>
      <c r="N14" s="229">
        <v>10918.54</v>
      </c>
      <c r="O14" s="230">
        <f t="shared" si="2"/>
        <v>27293.889600000002</v>
      </c>
      <c r="P14" s="231">
        <v>5481.62</v>
      </c>
      <c r="Q14" s="221">
        <f t="shared" si="3"/>
        <v>329</v>
      </c>
      <c r="R14" s="366" t="s">
        <v>574</v>
      </c>
      <c r="S14" s="290">
        <v>161941.04</v>
      </c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</row>
    <row r="15" spans="1:51" x14ac:dyDescent="0.2">
      <c r="A15" s="234" t="s">
        <v>328</v>
      </c>
      <c r="B15" s="235" t="s">
        <v>214</v>
      </c>
      <c r="C15" s="288" t="s">
        <v>642</v>
      </c>
      <c r="D15" s="312" t="s">
        <v>103</v>
      </c>
      <c r="E15" s="235" t="s">
        <v>317</v>
      </c>
      <c r="F15" s="236">
        <v>3437.09</v>
      </c>
      <c r="G15" s="236">
        <f t="shared" si="0"/>
        <v>41245.08</v>
      </c>
      <c r="H15" s="224" t="s">
        <v>306</v>
      </c>
      <c r="I15" s="225">
        <v>15000</v>
      </c>
      <c r="J15" s="225">
        <v>13109</v>
      </c>
      <c r="K15" s="226">
        <v>15000</v>
      </c>
      <c r="L15" s="227">
        <v>151632.72</v>
      </c>
      <c r="M15" s="228">
        <f t="shared" si="1"/>
        <v>41245.08</v>
      </c>
      <c r="N15" s="229">
        <v>10918.54</v>
      </c>
      <c r="O15" s="230">
        <f t="shared" si="2"/>
        <v>27293.889600000002</v>
      </c>
      <c r="P15" s="231">
        <v>5481.62</v>
      </c>
      <c r="Q15" s="221">
        <f t="shared" si="3"/>
        <v>329</v>
      </c>
      <c r="R15" s="366" t="s">
        <v>575</v>
      </c>
      <c r="S15" s="290">
        <v>161941.04</v>
      </c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</row>
    <row r="16" spans="1:51" x14ac:dyDescent="0.2">
      <c r="A16" s="234" t="s">
        <v>386</v>
      </c>
      <c r="B16" s="235" t="s">
        <v>387</v>
      </c>
      <c r="C16" s="288" t="s">
        <v>639</v>
      </c>
      <c r="D16" s="311" t="s">
        <v>129</v>
      </c>
      <c r="E16" s="235" t="s">
        <v>317</v>
      </c>
      <c r="F16" s="236">
        <v>3437.09</v>
      </c>
      <c r="G16" s="236">
        <f t="shared" si="0"/>
        <v>41245.08</v>
      </c>
      <c r="H16" s="224" t="s">
        <v>306</v>
      </c>
      <c r="I16" s="225">
        <v>230000</v>
      </c>
      <c r="J16" s="225">
        <v>5760</v>
      </c>
      <c r="K16" s="226">
        <v>10000</v>
      </c>
      <c r="L16" s="227">
        <v>151632.72</v>
      </c>
      <c r="M16" s="228">
        <f t="shared" si="1"/>
        <v>41245.08</v>
      </c>
      <c r="N16" s="229">
        <v>10918.54</v>
      </c>
      <c r="O16" s="230">
        <f t="shared" si="2"/>
        <v>27293.889600000002</v>
      </c>
      <c r="P16" s="231">
        <v>5481.62</v>
      </c>
      <c r="Q16" s="221">
        <f t="shared" si="3"/>
        <v>329</v>
      </c>
      <c r="R16" s="366" t="s">
        <v>576</v>
      </c>
      <c r="S16" s="290">
        <v>161941.04</v>
      </c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</row>
    <row r="17" spans="1:51" x14ac:dyDescent="0.2">
      <c r="A17" s="234" t="s">
        <v>388</v>
      </c>
      <c r="B17" s="235" t="s">
        <v>389</v>
      </c>
      <c r="C17" s="288" t="s">
        <v>643</v>
      </c>
      <c r="D17" s="311" t="s">
        <v>62</v>
      </c>
      <c r="E17" s="235" t="s">
        <v>317</v>
      </c>
      <c r="F17" s="236">
        <v>3437.09</v>
      </c>
      <c r="G17" s="236">
        <f t="shared" si="0"/>
        <v>41245.08</v>
      </c>
      <c r="H17" s="224" t="s">
        <v>306</v>
      </c>
      <c r="I17" s="225">
        <v>10000</v>
      </c>
      <c r="J17" s="225">
        <v>8219</v>
      </c>
      <c r="K17" s="226">
        <v>10000</v>
      </c>
      <c r="L17" s="227">
        <v>151632.72</v>
      </c>
      <c r="M17" s="228">
        <f t="shared" si="1"/>
        <v>41245.08</v>
      </c>
      <c r="N17" s="229">
        <v>10918.54</v>
      </c>
      <c r="O17" s="230">
        <f t="shared" si="2"/>
        <v>27293.889600000002</v>
      </c>
      <c r="P17" s="231">
        <v>5481.62</v>
      </c>
      <c r="Q17" s="221">
        <f t="shared" si="3"/>
        <v>329</v>
      </c>
      <c r="R17" s="366" t="s">
        <v>577</v>
      </c>
      <c r="S17" s="290">
        <v>161941.04</v>
      </c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</row>
    <row r="18" spans="1:51" x14ac:dyDescent="0.2">
      <c r="A18" s="234" t="s">
        <v>390</v>
      </c>
      <c r="B18" s="235" t="s">
        <v>391</v>
      </c>
      <c r="C18" s="288" t="s">
        <v>644</v>
      </c>
      <c r="D18" s="312" t="s">
        <v>131</v>
      </c>
      <c r="E18" s="235" t="s">
        <v>317</v>
      </c>
      <c r="F18" s="236">
        <v>3437.09</v>
      </c>
      <c r="G18" s="236">
        <f t="shared" si="0"/>
        <v>41245.08</v>
      </c>
      <c r="H18" s="224" t="s">
        <v>306</v>
      </c>
      <c r="I18" s="225">
        <v>30000</v>
      </c>
      <c r="J18" s="225">
        <v>0</v>
      </c>
      <c r="K18" s="226">
        <v>15000</v>
      </c>
      <c r="L18" s="227">
        <v>151632.72</v>
      </c>
      <c r="M18" s="228">
        <f t="shared" si="1"/>
        <v>41245.08</v>
      </c>
      <c r="N18" s="229">
        <v>10918.54</v>
      </c>
      <c r="O18" s="230">
        <f t="shared" si="2"/>
        <v>27293.889600000002</v>
      </c>
      <c r="P18" s="231">
        <v>5481.62</v>
      </c>
      <c r="Q18" s="221">
        <f t="shared" si="3"/>
        <v>329</v>
      </c>
      <c r="R18" s="366" t="s">
        <v>578</v>
      </c>
      <c r="S18" s="290">
        <v>161941.04</v>
      </c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</row>
    <row r="19" spans="1:51" x14ac:dyDescent="0.2">
      <c r="A19" s="234" t="s">
        <v>392</v>
      </c>
      <c r="B19" s="235" t="s">
        <v>393</v>
      </c>
      <c r="C19" s="288" t="s">
        <v>644</v>
      </c>
      <c r="D19" s="312" t="s">
        <v>131</v>
      </c>
      <c r="E19" s="235" t="s">
        <v>317</v>
      </c>
      <c r="F19" s="236">
        <v>3437.09</v>
      </c>
      <c r="G19" s="236">
        <f t="shared" si="0"/>
        <v>41245.08</v>
      </c>
      <c r="H19" s="224" t="s">
        <v>306</v>
      </c>
      <c r="I19" s="225">
        <v>10000</v>
      </c>
      <c r="J19" s="225">
        <v>3290</v>
      </c>
      <c r="K19" s="226">
        <v>8000</v>
      </c>
      <c r="L19" s="227">
        <v>151632.72</v>
      </c>
      <c r="M19" s="228">
        <f t="shared" si="1"/>
        <v>41245.08</v>
      </c>
      <c r="N19" s="229">
        <v>10918.54</v>
      </c>
      <c r="O19" s="230">
        <f t="shared" si="2"/>
        <v>27293.889600000002</v>
      </c>
      <c r="P19" s="231">
        <v>5481.62</v>
      </c>
      <c r="Q19" s="221">
        <f t="shared" si="3"/>
        <v>329</v>
      </c>
      <c r="R19" s="366" t="s">
        <v>579</v>
      </c>
      <c r="S19" s="290">
        <v>161941.04</v>
      </c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</row>
    <row r="20" spans="1:51" x14ac:dyDescent="0.2">
      <c r="A20" s="234" t="s">
        <v>405</v>
      </c>
      <c r="B20" s="235" t="s">
        <v>406</v>
      </c>
      <c r="C20" s="288" t="s">
        <v>645</v>
      </c>
      <c r="D20" s="310" t="s">
        <v>63</v>
      </c>
      <c r="E20" s="235" t="s">
        <v>317</v>
      </c>
      <c r="F20" s="236">
        <v>3437.09</v>
      </c>
      <c r="G20" s="236">
        <f t="shared" si="0"/>
        <v>41245.08</v>
      </c>
      <c r="H20" s="224" t="s">
        <v>306</v>
      </c>
      <c r="I20" s="225">
        <v>25000</v>
      </c>
      <c r="J20" s="225">
        <v>4818</v>
      </c>
      <c r="K20" s="226">
        <v>8000</v>
      </c>
      <c r="L20" s="227">
        <v>151632.72</v>
      </c>
      <c r="M20" s="228">
        <f t="shared" si="1"/>
        <v>41245.08</v>
      </c>
      <c r="N20" s="229">
        <v>10918.54</v>
      </c>
      <c r="O20" s="230">
        <f t="shared" si="2"/>
        <v>27293.889600000002</v>
      </c>
      <c r="P20" s="231">
        <v>5481.62</v>
      </c>
      <c r="Q20" s="221">
        <f t="shared" si="3"/>
        <v>329</v>
      </c>
      <c r="R20" s="366" t="s">
        <v>580</v>
      </c>
      <c r="S20" s="290">
        <v>161941.04</v>
      </c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</row>
    <row r="21" spans="1:51" x14ac:dyDescent="0.2">
      <c r="A21" s="234" t="s">
        <v>407</v>
      </c>
      <c r="B21" s="235" t="s">
        <v>408</v>
      </c>
      <c r="C21" s="288" t="s">
        <v>643</v>
      </c>
      <c r="D21" s="312" t="s">
        <v>62</v>
      </c>
      <c r="E21" s="235" t="s">
        <v>317</v>
      </c>
      <c r="F21" s="236">
        <v>3437.09</v>
      </c>
      <c r="G21" s="236">
        <f t="shared" si="0"/>
        <v>41245.08</v>
      </c>
      <c r="H21" s="224" t="s">
        <v>306</v>
      </c>
      <c r="I21" s="225">
        <v>15000</v>
      </c>
      <c r="J21" s="225">
        <v>26593</v>
      </c>
      <c r="K21" s="226">
        <v>30000</v>
      </c>
      <c r="L21" s="227">
        <v>151632.72</v>
      </c>
      <c r="M21" s="228">
        <f t="shared" si="1"/>
        <v>41245.08</v>
      </c>
      <c r="N21" s="229">
        <v>10918.54</v>
      </c>
      <c r="O21" s="230">
        <f t="shared" si="2"/>
        <v>27293.889600000002</v>
      </c>
      <c r="P21" s="231">
        <v>5481.62</v>
      </c>
      <c r="Q21" s="221">
        <f t="shared" si="3"/>
        <v>329</v>
      </c>
      <c r="R21" s="366" t="s">
        <v>581</v>
      </c>
      <c r="S21" s="290">
        <v>161941.04</v>
      </c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</row>
    <row r="22" spans="1:51" x14ac:dyDescent="0.2">
      <c r="A22" s="234" t="s">
        <v>409</v>
      </c>
      <c r="B22" s="235" t="s">
        <v>410</v>
      </c>
      <c r="C22" s="288" t="s">
        <v>639</v>
      </c>
      <c r="D22" s="312" t="s">
        <v>129</v>
      </c>
      <c r="E22" s="235" t="s">
        <v>317</v>
      </c>
      <c r="F22" s="236">
        <v>3437.09</v>
      </c>
      <c r="G22" s="236">
        <f t="shared" si="0"/>
        <v>41245.08</v>
      </c>
      <c r="H22" s="224" t="s">
        <v>306</v>
      </c>
      <c r="I22" s="225">
        <v>15000</v>
      </c>
      <c r="J22" s="225">
        <v>17717</v>
      </c>
      <c r="K22" s="226">
        <v>20000</v>
      </c>
      <c r="L22" s="227">
        <v>151632.72</v>
      </c>
      <c r="M22" s="228">
        <f t="shared" si="1"/>
        <v>41245.08</v>
      </c>
      <c r="N22" s="229">
        <v>10918.54</v>
      </c>
      <c r="O22" s="230">
        <f t="shared" si="2"/>
        <v>27293.889600000002</v>
      </c>
      <c r="P22" s="231">
        <v>5481.62</v>
      </c>
      <c r="Q22" s="221">
        <f t="shared" si="3"/>
        <v>329</v>
      </c>
      <c r="R22" s="366" t="s">
        <v>582</v>
      </c>
      <c r="S22" s="290">
        <v>161941.04</v>
      </c>
      <c r="T22" s="238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</row>
    <row r="23" spans="1:51" x14ac:dyDescent="0.2">
      <c r="A23" s="234" t="s">
        <v>411</v>
      </c>
      <c r="B23" s="235" t="s">
        <v>412</v>
      </c>
      <c r="C23" s="288" t="s">
        <v>639</v>
      </c>
      <c r="D23" s="312" t="s">
        <v>129</v>
      </c>
      <c r="E23" s="235" t="s">
        <v>317</v>
      </c>
      <c r="F23" s="236">
        <v>3437.09</v>
      </c>
      <c r="G23" s="236">
        <f t="shared" si="0"/>
        <v>41245.08</v>
      </c>
      <c r="H23" s="224" t="s">
        <v>306</v>
      </c>
      <c r="I23" s="225">
        <v>36000</v>
      </c>
      <c r="J23" s="225">
        <v>13897</v>
      </c>
      <c r="K23" s="226">
        <v>15000</v>
      </c>
      <c r="L23" s="227">
        <v>151632.72</v>
      </c>
      <c r="M23" s="228">
        <f t="shared" si="1"/>
        <v>41245.08</v>
      </c>
      <c r="N23" s="229">
        <v>10918.54</v>
      </c>
      <c r="O23" s="230">
        <f t="shared" si="2"/>
        <v>27293.889600000002</v>
      </c>
      <c r="P23" s="231">
        <v>5481.62</v>
      </c>
      <c r="Q23" s="221">
        <f t="shared" si="3"/>
        <v>329</v>
      </c>
      <c r="R23" s="366" t="s">
        <v>583</v>
      </c>
      <c r="S23" s="290">
        <v>161941.04</v>
      </c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</row>
    <row r="24" spans="1:51" x14ac:dyDescent="0.2">
      <c r="A24" s="234" t="s">
        <v>419</v>
      </c>
      <c r="B24" s="235" t="s">
        <v>420</v>
      </c>
      <c r="C24" s="288" t="s">
        <v>639</v>
      </c>
      <c r="D24" s="312" t="s">
        <v>129</v>
      </c>
      <c r="E24" s="235" t="s">
        <v>317</v>
      </c>
      <c r="F24" s="236">
        <v>3437.09</v>
      </c>
      <c r="G24" s="236">
        <f t="shared" si="0"/>
        <v>41245.08</v>
      </c>
      <c r="H24" s="224" t="s">
        <v>306</v>
      </c>
      <c r="I24" s="225">
        <v>20000</v>
      </c>
      <c r="J24" s="225">
        <v>16072</v>
      </c>
      <c r="K24" s="226">
        <v>20000</v>
      </c>
      <c r="L24" s="227">
        <v>151632.72</v>
      </c>
      <c r="M24" s="228">
        <f t="shared" si="1"/>
        <v>41245.08</v>
      </c>
      <c r="N24" s="229">
        <v>10918.54</v>
      </c>
      <c r="O24" s="230">
        <f t="shared" si="2"/>
        <v>27293.889600000002</v>
      </c>
      <c r="P24" s="231">
        <v>5481.62</v>
      </c>
      <c r="Q24" s="221">
        <f t="shared" si="3"/>
        <v>329</v>
      </c>
      <c r="R24" s="366" t="s">
        <v>584</v>
      </c>
      <c r="S24" s="290">
        <v>161941.04</v>
      </c>
      <c r="T24" s="238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</row>
    <row r="25" spans="1:51" x14ac:dyDescent="0.2">
      <c r="A25" s="234" t="s">
        <v>421</v>
      </c>
      <c r="B25" s="235" t="s">
        <v>422</v>
      </c>
      <c r="C25" s="288" t="s">
        <v>630</v>
      </c>
      <c r="D25" s="311" t="s">
        <v>196</v>
      </c>
      <c r="E25" s="235" t="s">
        <v>317</v>
      </c>
      <c r="F25" s="236">
        <v>3437.09</v>
      </c>
      <c r="G25" s="236">
        <f t="shared" si="0"/>
        <v>41245.08</v>
      </c>
      <c r="H25" s="224" t="s">
        <v>306</v>
      </c>
      <c r="I25" s="225">
        <v>20000</v>
      </c>
      <c r="J25" s="225">
        <v>3640</v>
      </c>
      <c r="K25" s="226">
        <v>8000</v>
      </c>
      <c r="L25" s="227">
        <v>151632.72</v>
      </c>
      <c r="M25" s="228">
        <f t="shared" si="1"/>
        <v>41245.08</v>
      </c>
      <c r="N25" s="229">
        <v>10918.54</v>
      </c>
      <c r="O25" s="230">
        <f t="shared" si="2"/>
        <v>27293.889600000002</v>
      </c>
      <c r="P25" s="231">
        <v>5481.62</v>
      </c>
      <c r="Q25" s="221">
        <f t="shared" si="3"/>
        <v>329</v>
      </c>
      <c r="R25" s="366" t="s">
        <v>585</v>
      </c>
      <c r="S25" s="290">
        <v>161941.04</v>
      </c>
      <c r="T25" s="238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</row>
    <row r="26" spans="1:51" x14ac:dyDescent="0.2">
      <c r="A26" s="234" t="s">
        <v>423</v>
      </c>
      <c r="B26" s="235" t="s">
        <v>424</v>
      </c>
      <c r="C26" s="288" t="s">
        <v>641</v>
      </c>
      <c r="D26" s="312" t="s">
        <v>631</v>
      </c>
      <c r="E26" s="235" t="s">
        <v>317</v>
      </c>
      <c r="F26" s="236">
        <v>3437.09</v>
      </c>
      <c r="G26" s="236">
        <f t="shared" si="0"/>
        <v>41245.08</v>
      </c>
      <c r="H26" s="224" t="s">
        <v>306</v>
      </c>
      <c r="I26" s="225">
        <v>20000</v>
      </c>
      <c r="J26" s="225">
        <v>17750</v>
      </c>
      <c r="K26" s="226">
        <v>20000</v>
      </c>
      <c r="L26" s="227">
        <v>151632.72</v>
      </c>
      <c r="M26" s="228">
        <f t="shared" si="1"/>
        <v>41245.08</v>
      </c>
      <c r="N26" s="229">
        <v>10918.54</v>
      </c>
      <c r="O26" s="230">
        <f t="shared" si="2"/>
        <v>27293.889600000002</v>
      </c>
      <c r="P26" s="231">
        <v>5481.62</v>
      </c>
      <c r="Q26" s="221">
        <f t="shared" si="3"/>
        <v>329</v>
      </c>
      <c r="R26" s="366" t="s">
        <v>586</v>
      </c>
      <c r="S26" s="290">
        <v>161941.04</v>
      </c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</row>
    <row r="27" spans="1:51" x14ac:dyDescent="0.2">
      <c r="A27" s="234" t="s">
        <v>425</v>
      </c>
      <c r="B27" s="235" t="s">
        <v>426</v>
      </c>
      <c r="C27" s="288" t="s">
        <v>642</v>
      </c>
      <c r="D27" s="312" t="s">
        <v>103</v>
      </c>
      <c r="E27" s="235" t="s">
        <v>317</v>
      </c>
      <c r="F27" s="236">
        <v>3437.09</v>
      </c>
      <c r="G27" s="236">
        <f t="shared" si="0"/>
        <v>41245.08</v>
      </c>
      <c r="H27" s="224" t="s">
        <v>306</v>
      </c>
      <c r="I27" s="225">
        <v>30000</v>
      </c>
      <c r="J27" s="225">
        <v>20481</v>
      </c>
      <c r="K27" s="226">
        <v>30000</v>
      </c>
      <c r="L27" s="227">
        <v>151632.72</v>
      </c>
      <c r="M27" s="228">
        <f t="shared" si="1"/>
        <v>41245.08</v>
      </c>
      <c r="N27" s="229">
        <v>10918.54</v>
      </c>
      <c r="O27" s="230">
        <f t="shared" si="2"/>
        <v>27293.889600000002</v>
      </c>
      <c r="P27" s="231">
        <v>5481.62</v>
      </c>
      <c r="Q27" s="221">
        <f t="shared" si="3"/>
        <v>329</v>
      </c>
      <c r="R27" s="366" t="s">
        <v>587</v>
      </c>
      <c r="S27" s="290">
        <v>161941.04</v>
      </c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</row>
    <row r="28" spans="1:51" x14ac:dyDescent="0.2">
      <c r="A28" s="234" t="s">
        <v>427</v>
      </c>
      <c r="B28" s="235" t="s">
        <v>428</v>
      </c>
      <c r="C28" s="288" t="s">
        <v>633</v>
      </c>
      <c r="D28" s="312" t="s">
        <v>116</v>
      </c>
      <c r="E28" s="235" t="s">
        <v>317</v>
      </c>
      <c r="F28" s="236">
        <v>3437.09</v>
      </c>
      <c r="G28" s="236">
        <f t="shared" si="0"/>
        <v>41245.08</v>
      </c>
      <c r="H28" s="224" t="s">
        <v>306</v>
      </c>
      <c r="I28" s="225">
        <v>20000</v>
      </c>
      <c r="J28" s="225">
        <v>18853</v>
      </c>
      <c r="K28" s="226">
        <v>20000</v>
      </c>
      <c r="L28" s="227">
        <v>151632.72</v>
      </c>
      <c r="M28" s="228">
        <f t="shared" si="1"/>
        <v>41245.08</v>
      </c>
      <c r="N28" s="229">
        <v>10918.54</v>
      </c>
      <c r="O28" s="230">
        <f t="shared" si="2"/>
        <v>27293.889600000002</v>
      </c>
      <c r="P28" s="231">
        <v>5481.62</v>
      </c>
      <c r="Q28" s="221">
        <f t="shared" si="3"/>
        <v>329</v>
      </c>
      <c r="R28" s="366" t="s">
        <v>588</v>
      </c>
      <c r="S28" s="290">
        <v>161941.04</v>
      </c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</row>
    <row r="29" spans="1:51" x14ac:dyDescent="0.2">
      <c r="A29" s="239" t="s">
        <v>330</v>
      </c>
      <c r="B29" s="239" t="s">
        <v>216</v>
      </c>
      <c r="C29" s="285" t="s">
        <v>646</v>
      </c>
      <c r="D29" s="312" t="s">
        <v>631</v>
      </c>
      <c r="E29" s="239" t="s">
        <v>332</v>
      </c>
      <c r="F29" s="240">
        <v>5418.79</v>
      </c>
      <c r="G29" s="240">
        <f>+F29*12</f>
        <v>65025.479999999996</v>
      </c>
      <c r="H29" s="224" t="s">
        <v>315</v>
      </c>
      <c r="I29" s="225">
        <v>40000</v>
      </c>
      <c r="J29" s="225">
        <v>37204</v>
      </c>
      <c r="K29" s="226">
        <v>40000</v>
      </c>
      <c r="L29" s="227">
        <v>248070.79</v>
      </c>
      <c r="M29" s="228">
        <f>+F29*12</f>
        <v>65025.479999999996</v>
      </c>
      <c r="N29" s="229">
        <v>15411.32</v>
      </c>
      <c r="O29" s="230">
        <f>+L29*0.9/5</f>
        <v>44652.742200000001</v>
      </c>
      <c r="P29" s="231">
        <v>5481.62</v>
      </c>
      <c r="Q29" s="221">
        <f t="shared" ref="Q29:Q49" si="4">347+36</f>
        <v>383</v>
      </c>
      <c r="R29" s="363" t="s">
        <v>543</v>
      </c>
      <c r="S29" s="289">
        <v>251271.34</v>
      </c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</row>
    <row r="30" spans="1:51" x14ac:dyDescent="0.2">
      <c r="A30" s="239" t="s">
        <v>260</v>
      </c>
      <c r="B30" s="239" t="s">
        <v>217</v>
      </c>
      <c r="C30" s="285" t="s">
        <v>646</v>
      </c>
      <c r="D30" s="312" t="s">
        <v>631</v>
      </c>
      <c r="E30" s="239" t="s">
        <v>332</v>
      </c>
      <c r="F30" s="240">
        <v>5418.79</v>
      </c>
      <c r="G30" s="240">
        <f>+F30*12</f>
        <v>65025.479999999996</v>
      </c>
      <c r="H30" s="224" t="s">
        <v>315</v>
      </c>
      <c r="I30" s="225">
        <v>15000</v>
      </c>
      <c r="J30" s="225">
        <v>36254</v>
      </c>
      <c r="K30" s="226">
        <v>40000</v>
      </c>
      <c r="L30" s="227">
        <v>248070.79</v>
      </c>
      <c r="M30" s="228">
        <f>+F30*12</f>
        <v>65025.479999999996</v>
      </c>
      <c r="N30" s="229">
        <v>15411.32</v>
      </c>
      <c r="O30" s="230">
        <f>+L30*0.9/5</f>
        <v>44652.742200000001</v>
      </c>
      <c r="P30" s="231">
        <v>5481.62</v>
      </c>
      <c r="Q30" s="221">
        <f t="shared" si="4"/>
        <v>383</v>
      </c>
      <c r="R30" s="363" t="s">
        <v>544</v>
      </c>
      <c r="S30" s="289">
        <v>251271.34</v>
      </c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</row>
    <row r="31" spans="1:51" x14ac:dyDescent="0.2">
      <c r="A31" s="239" t="s">
        <v>261</v>
      </c>
      <c r="B31" s="239" t="s">
        <v>218</v>
      </c>
      <c r="C31" s="285" t="s">
        <v>646</v>
      </c>
      <c r="D31" s="312" t="s">
        <v>331</v>
      </c>
      <c r="E31" s="239" t="s">
        <v>332</v>
      </c>
      <c r="F31" s="240">
        <v>5418.79</v>
      </c>
      <c r="G31" s="240">
        <f>+F31*12</f>
        <v>65025.479999999996</v>
      </c>
      <c r="H31" s="224" t="s">
        <v>315</v>
      </c>
      <c r="I31" s="225">
        <v>50000</v>
      </c>
      <c r="J31" s="225">
        <v>12952</v>
      </c>
      <c r="K31" s="226">
        <v>15000</v>
      </c>
      <c r="L31" s="227">
        <v>248070.79</v>
      </c>
      <c r="M31" s="228">
        <f>+F31*12</f>
        <v>65025.479999999996</v>
      </c>
      <c r="N31" s="229">
        <v>15411.32</v>
      </c>
      <c r="O31" s="230">
        <f>+L31*0.9/5</f>
        <v>44652.742200000001</v>
      </c>
      <c r="P31" s="231">
        <v>5481.62</v>
      </c>
      <c r="Q31" s="221">
        <f t="shared" si="4"/>
        <v>383</v>
      </c>
      <c r="R31" s="363" t="s">
        <v>545</v>
      </c>
      <c r="S31" s="289">
        <v>251271.34</v>
      </c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</row>
    <row r="32" spans="1:51" x14ac:dyDescent="0.2">
      <c r="A32" s="239" t="s">
        <v>262</v>
      </c>
      <c r="B32" s="239" t="s">
        <v>219</v>
      </c>
      <c r="C32" s="285" t="s">
        <v>646</v>
      </c>
      <c r="D32" s="312" t="s">
        <v>331</v>
      </c>
      <c r="E32" s="239" t="s">
        <v>332</v>
      </c>
      <c r="F32" s="240">
        <v>5418.79</v>
      </c>
      <c r="G32" s="240">
        <f>+F32*12</f>
        <v>65025.479999999996</v>
      </c>
      <c r="H32" s="224" t="s">
        <v>315</v>
      </c>
      <c r="I32" s="225">
        <v>40000</v>
      </c>
      <c r="J32" s="225">
        <v>42827</v>
      </c>
      <c r="K32" s="226">
        <v>50000</v>
      </c>
      <c r="L32" s="227">
        <v>248070.79</v>
      </c>
      <c r="M32" s="228">
        <f>+F32*12</f>
        <v>65025.479999999996</v>
      </c>
      <c r="N32" s="229">
        <v>15411.32</v>
      </c>
      <c r="O32" s="230">
        <f>+L32*0.9/5</f>
        <v>44652.742200000001</v>
      </c>
      <c r="P32" s="231">
        <v>5481.62</v>
      </c>
      <c r="Q32" s="221">
        <f t="shared" si="4"/>
        <v>383</v>
      </c>
      <c r="R32" s="363" t="s">
        <v>546</v>
      </c>
      <c r="S32" s="289">
        <v>251271.34</v>
      </c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</row>
    <row r="33" spans="1:51" x14ac:dyDescent="0.2">
      <c r="A33" s="239" t="s">
        <v>263</v>
      </c>
      <c r="B33" s="239" t="s">
        <v>220</v>
      </c>
      <c r="C33" s="285" t="s">
        <v>646</v>
      </c>
      <c r="D33" s="312" t="s">
        <v>631</v>
      </c>
      <c r="E33" s="239" t="s">
        <v>332</v>
      </c>
      <c r="F33" s="240">
        <v>5418.79</v>
      </c>
      <c r="G33" s="240">
        <f>+F33*12</f>
        <v>65025.479999999996</v>
      </c>
      <c r="H33" s="224" t="s">
        <v>315</v>
      </c>
      <c r="I33" s="225">
        <v>20000</v>
      </c>
      <c r="J33" s="225">
        <v>35805</v>
      </c>
      <c r="K33" s="226">
        <v>40000</v>
      </c>
      <c r="L33" s="227">
        <v>248070.79</v>
      </c>
      <c r="M33" s="228">
        <f>+F33*12</f>
        <v>65025.479999999996</v>
      </c>
      <c r="N33" s="229">
        <v>15411.32</v>
      </c>
      <c r="O33" s="230">
        <f>+L33*0.9/5</f>
        <v>44652.742200000001</v>
      </c>
      <c r="P33" s="231">
        <v>5481.62</v>
      </c>
      <c r="Q33" s="221">
        <f t="shared" si="4"/>
        <v>383</v>
      </c>
      <c r="R33" s="363" t="s">
        <v>547</v>
      </c>
      <c r="S33" s="289">
        <v>251271.34</v>
      </c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</row>
    <row r="34" spans="1:51" x14ac:dyDescent="0.2">
      <c r="A34" s="239" t="s">
        <v>264</v>
      </c>
      <c r="B34" s="239" t="s">
        <v>221</v>
      </c>
      <c r="C34" s="285" t="s">
        <v>646</v>
      </c>
      <c r="D34" s="312" t="s">
        <v>631</v>
      </c>
      <c r="E34" s="239" t="s">
        <v>332</v>
      </c>
      <c r="F34" s="240">
        <v>5418.79</v>
      </c>
      <c r="G34" s="240">
        <f t="shared" ref="G34:G65" si="5">+F34*12</f>
        <v>65025.479999999996</v>
      </c>
      <c r="H34" s="224" t="s">
        <v>315</v>
      </c>
      <c r="I34" s="225">
        <v>25000</v>
      </c>
      <c r="J34" s="225">
        <v>53334</v>
      </c>
      <c r="K34" s="226">
        <v>60000</v>
      </c>
      <c r="L34" s="227">
        <v>248070.79</v>
      </c>
      <c r="M34" s="228">
        <f t="shared" ref="M34:M65" si="6">+F34*12</f>
        <v>65025.479999999996</v>
      </c>
      <c r="N34" s="229">
        <v>15411.32</v>
      </c>
      <c r="O34" s="230">
        <f t="shared" ref="O34:O65" si="7">+L34*0.9/5</f>
        <v>44652.742200000001</v>
      </c>
      <c r="P34" s="231">
        <v>5481.62</v>
      </c>
      <c r="Q34" s="221">
        <f t="shared" si="4"/>
        <v>383</v>
      </c>
      <c r="R34" s="363" t="s">
        <v>548</v>
      </c>
      <c r="S34" s="289">
        <v>251271.34</v>
      </c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</row>
    <row r="35" spans="1:51" x14ac:dyDescent="0.2">
      <c r="A35" s="239" t="s">
        <v>265</v>
      </c>
      <c r="B35" s="239" t="s">
        <v>222</v>
      </c>
      <c r="C35" s="285" t="s">
        <v>646</v>
      </c>
      <c r="D35" s="312" t="s">
        <v>331</v>
      </c>
      <c r="E35" s="239" t="s">
        <v>332</v>
      </c>
      <c r="F35" s="240">
        <v>5418.79</v>
      </c>
      <c r="G35" s="240">
        <f t="shared" si="5"/>
        <v>65025.479999999996</v>
      </c>
      <c r="H35" s="224" t="s">
        <v>315</v>
      </c>
      <c r="I35" s="225">
        <v>40000</v>
      </c>
      <c r="J35" s="225">
        <v>32148</v>
      </c>
      <c r="K35" s="226">
        <v>35000</v>
      </c>
      <c r="L35" s="227">
        <v>248070.79</v>
      </c>
      <c r="M35" s="228">
        <f t="shared" si="6"/>
        <v>65025.479999999996</v>
      </c>
      <c r="N35" s="229">
        <v>15411.32</v>
      </c>
      <c r="O35" s="230">
        <f t="shared" si="7"/>
        <v>44652.742200000001</v>
      </c>
      <c r="P35" s="231">
        <v>5481.62</v>
      </c>
      <c r="Q35" s="221">
        <f t="shared" si="4"/>
        <v>383</v>
      </c>
      <c r="R35" s="363" t="s">
        <v>549</v>
      </c>
      <c r="S35" s="289">
        <v>251271.34</v>
      </c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</row>
    <row r="36" spans="1:51" x14ac:dyDescent="0.2">
      <c r="A36" s="239" t="s">
        <v>266</v>
      </c>
      <c r="B36" s="239" t="s">
        <v>223</v>
      </c>
      <c r="C36" s="285" t="s">
        <v>646</v>
      </c>
      <c r="D36" s="312" t="s">
        <v>331</v>
      </c>
      <c r="E36" s="239" t="s">
        <v>332</v>
      </c>
      <c r="F36" s="240">
        <v>5418.79</v>
      </c>
      <c r="G36" s="240">
        <f t="shared" si="5"/>
        <v>65025.479999999996</v>
      </c>
      <c r="H36" s="224" t="s">
        <v>315</v>
      </c>
      <c r="I36" s="225">
        <v>40000</v>
      </c>
      <c r="J36" s="225">
        <v>33912</v>
      </c>
      <c r="K36" s="226">
        <v>35000</v>
      </c>
      <c r="L36" s="227">
        <v>248070.79</v>
      </c>
      <c r="M36" s="228">
        <f t="shared" si="6"/>
        <v>65025.479999999996</v>
      </c>
      <c r="N36" s="229">
        <v>15411.32</v>
      </c>
      <c r="O36" s="230">
        <f t="shared" si="7"/>
        <v>44652.742200000001</v>
      </c>
      <c r="P36" s="231">
        <v>5481.62</v>
      </c>
      <c r="Q36" s="221">
        <f t="shared" si="4"/>
        <v>383</v>
      </c>
      <c r="R36" s="363" t="s">
        <v>550</v>
      </c>
      <c r="S36" s="289">
        <v>251271.34</v>
      </c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</row>
    <row r="37" spans="1:51" x14ac:dyDescent="0.2">
      <c r="A37" s="239" t="s">
        <v>267</v>
      </c>
      <c r="B37" s="239" t="s">
        <v>224</v>
      </c>
      <c r="C37" s="285" t="s">
        <v>646</v>
      </c>
      <c r="D37" s="312" t="s">
        <v>331</v>
      </c>
      <c r="E37" s="239" t="s">
        <v>332</v>
      </c>
      <c r="F37" s="240">
        <v>5418.79</v>
      </c>
      <c r="G37" s="240">
        <f t="shared" si="5"/>
        <v>65025.479999999996</v>
      </c>
      <c r="H37" s="224" t="s">
        <v>315</v>
      </c>
      <c r="I37" s="225">
        <v>40000</v>
      </c>
      <c r="J37" s="225">
        <v>20850</v>
      </c>
      <c r="K37" s="226">
        <v>30000</v>
      </c>
      <c r="L37" s="227">
        <v>248070.79</v>
      </c>
      <c r="M37" s="228">
        <f t="shared" si="6"/>
        <v>65025.479999999996</v>
      </c>
      <c r="N37" s="229">
        <v>15411.32</v>
      </c>
      <c r="O37" s="230">
        <f t="shared" si="7"/>
        <v>44652.742200000001</v>
      </c>
      <c r="P37" s="231">
        <v>5481.62</v>
      </c>
      <c r="Q37" s="221">
        <f t="shared" si="4"/>
        <v>383</v>
      </c>
      <c r="R37" s="363" t="s">
        <v>551</v>
      </c>
      <c r="S37" s="289">
        <v>251271.34</v>
      </c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</row>
    <row r="38" spans="1:51" x14ac:dyDescent="0.2">
      <c r="A38" s="239" t="s">
        <v>268</v>
      </c>
      <c r="B38" s="239" t="s">
        <v>380</v>
      </c>
      <c r="C38" s="285" t="s">
        <v>646</v>
      </c>
      <c r="D38" s="312" t="s">
        <v>331</v>
      </c>
      <c r="E38" s="239" t="s">
        <v>332</v>
      </c>
      <c r="F38" s="240">
        <v>5418.79</v>
      </c>
      <c r="G38" s="240">
        <f t="shared" si="5"/>
        <v>65025.479999999996</v>
      </c>
      <c r="H38" s="224" t="s">
        <v>315</v>
      </c>
      <c r="I38" s="225">
        <v>30000</v>
      </c>
      <c r="J38" s="225">
        <v>14417</v>
      </c>
      <c r="K38" s="226">
        <v>20000</v>
      </c>
      <c r="L38" s="227">
        <v>248070.79</v>
      </c>
      <c r="M38" s="228">
        <f t="shared" si="6"/>
        <v>65025.479999999996</v>
      </c>
      <c r="N38" s="229">
        <v>15411.32</v>
      </c>
      <c r="O38" s="230">
        <f t="shared" si="7"/>
        <v>44652.742200000001</v>
      </c>
      <c r="P38" s="231">
        <v>5481.62</v>
      </c>
      <c r="Q38" s="221">
        <f t="shared" si="4"/>
        <v>383</v>
      </c>
      <c r="R38" s="363" t="s">
        <v>552</v>
      </c>
      <c r="S38" s="289">
        <v>251271.34</v>
      </c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</row>
    <row r="39" spans="1:51" x14ac:dyDescent="0.2">
      <c r="A39" s="239" t="s">
        <v>269</v>
      </c>
      <c r="B39" s="239" t="s">
        <v>429</v>
      </c>
      <c r="C39" s="285" t="s">
        <v>646</v>
      </c>
      <c r="D39" s="312" t="s">
        <v>331</v>
      </c>
      <c r="E39" s="239" t="s">
        <v>332</v>
      </c>
      <c r="F39" s="240">
        <v>5418.79</v>
      </c>
      <c r="G39" s="240">
        <f t="shared" si="5"/>
        <v>65025.479999999996</v>
      </c>
      <c r="H39" s="224" t="s">
        <v>315</v>
      </c>
      <c r="I39" s="225">
        <v>20000</v>
      </c>
      <c r="J39" s="225">
        <v>16071</v>
      </c>
      <c r="K39" s="226">
        <v>20000</v>
      </c>
      <c r="L39" s="227">
        <v>248070.79</v>
      </c>
      <c r="M39" s="228">
        <f t="shared" si="6"/>
        <v>65025.479999999996</v>
      </c>
      <c r="N39" s="229">
        <v>15411.32</v>
      </c>
      <c r="O39" s="230">
        <f t="shared" si="7"/>
        <v>44652.742200000001</v>
      </c>
      <c r="P39" s="231">
        <v>5481.62</v>
      </c>
      <c r="Q39" s="221">
        <f t="shared" si="4"/>
        <v>383</v>
      </c>
      <c r="R39" s="363" t="s">
        <v>553</v>
      </c>
      <c r="S39" s="289">
        <v>251271.34</v>
      </c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</row>
    <row r="40" spans="1:51" x14ac:dyDescent="0.2">
      <c r="A40" s="239" t="s">
        <v>270</v>
      </c>
      <c r="B40" s="239" t="s">
        <v>430</v>
      </c>
      <c r="C40" s="285" t="s">
        <v>646</v>
      </c>
      <c r="D40" s="312" t="s">
        <v>331</v>
      </c>
      <c r="E40" s="239" t="s">
        <v>332</v>
      </c>
      <c r="F40" s="240">
        <v>5418.79</v>
      </c>
      <c r="G40" s="240">
        <f t="shared" si="5"/>
        <v>65025.479999999996</v>
      </c>
      <c r="H40" s="224" t="s">
        <v>315</v>
      </c>
      <c r="I40" s="225">
        <v>20000</v>
      </c>
      <c r="J40" s="225">
        <v>10515</v>
      </c>
      <c r="K40" s="226">
        <v>15000</v>
      </c>
      <c r="L40" s="227">
        <v>248070.79</v>
      </c>
      <c r="M40" s="228">
        <f t="shared" si="6"/>
        <v>65025.479999999996</v>
      </c>
      <c r="N40" s="229">
        <v>15411.32</v>
      </c>
      <c r="O40" s="230">
        <f t="shared" si="7"/>
        <v>44652.742200000001</v>
      </c>
      <c r="P40" s="231">
        <v>5481.62</v>
      </c>
      <c r="Q40" s="221">
        <f t="shared" si="4"/>
        <v>383</v>
      </c>
      <c r="R40" s="363" t="s">
        <v>554</v>
      </c>
      <c r="S40" s="289">
        <v>251271.34</v>
      </c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</row>
    <row r="41" spans="1:51" x14ac:dyDescent="0.2">
      <c r="A41" s="239" t="s">
        <v>271</v>
      </c>
      <c r="B41" s="239" t="s">
        <v>431</v>
      </c>
      <c r="C41" s="285" t="s">
        <v>646</v>
      </c>
      <c r="D41" s="312" t="s">
        <v>631</v>
      </c>
      <c r="E41" s="239" t="s">
        <v>332</v>
      </c>
      <c r="F41" s="240">
        <v>5418.79</v>
      </c>
      <c r="G41" s="240">
        <f t="shared" si="5"/>
        <v>65025.479999999996</v>
      </c>
      <c r="H41" s="224" t="s">
        <v>315</v>
      </c>
      <c r="I41" s="225">
        <v>20000</v>
      </c>
      <c r="J41" s="225">
        <v>9821</v>
      </c>
      <c r="K41" s="226">
        <v>10000</v>
      </c>
      <c r="L41" s="227">
        <v>248070.79</v>
      </c>
      <c r="M41" s="228">
        <f t="shared" si="6"/>
        <v>65025.479999999996</v>
      </c>
      <c r="N41" s="229">
        <v>15411.32</v>
      </c>
      <c r="O41" s="230">
        <f t="shared" si="7"/>
        <v>44652.742200000001</v>
      </c>
      <c r="P41" s="231">
        <v>5481.62</v>
      </c>
      <c r="Q41" s="221">
        <f t="shared" si="4"/>
        <v>383</v>
      </c>
      <c r="R41" s="363" t="s">
        <v>555</v>
      </c>
      <c r="S41" s="289">
        <v>251271.34</v>
      </c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</row>
    <row r="42" spans="1:51" x14ac:dyDescent="0.2">
      <c r="A42" s="239" t="s">
        <v>272</v>
      </c>
      <c r="B42" s="239" t="s">
        <v>432</v>
      </c>
      <c r="C42" s="285" t="s">
        <v>646</v>
      </c>
      <c r="D42" s="312" t="s">
        <v>331</v>
      </c>
      <c r="E42" s="239" t="s">
        <v>332</v>
      </c>
      <c r="F42" s="240">
        <v>5418.79</v>
      </c>
      <c r="G42" s="240">
        <f t="shared" si="5"/>
        <v>65025.479999999996</v>
      </c>
      <c r="H42" s="224" t="s">
        <v>315</v>
      </c>
      <c r="I42" s="225">
        <v>20000</v>
      </c>
      <c r="J42" s="225">
        <v>11936</v>
      </c>
      <c r="K42" s="226">
        <v>15000</v>
      </c>
      <c r="L42" s="227">
        <v>248070.79</v>
      </c>
      <c r="M42" s="228">
        <f t="shared" si="6"/>
        <v>65025.479999999996</v>
      </c>
      <c r="N42" s="229">
        <v>15411.32</v>
      </c>
      <c r="O42" s="230">
        <f t="shared" si="7"/>
        <v>44652.742200000001</v>
      </c>
      <c r="P42" s="231">
        <v>5481.62</v>
      </c>
      <c r="Q42" s="221">
        <f t="shared" si="4"/>
        <v>383</v>
      </c>
      <c r="R42" s="363" t="s">
        <v>556</v>
      </c>
      <c r="S42" s="289">
        <v>251271.34</v>
      </c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</row>
    <row r="43" spans="1:51" x14ac:dyDescent="0.2">
      <c r="A43" s="241" t="s">
        <v>313</v>
      </c>
      <c r="B43" s="241" t="s">
        <v>205</v>
      </c>
      <c r="C43" s="9" t="s">
        <v>647</v>
      </c>
      <c r="D43" s="312" t="s">
        <v>61</v>
      </c>
      <c r="E43" s="241" t="s">
        <v>314</v>
      </c>
      <c r="F43" s="242">
        <v>4954.3900000000003</v>
      </c>
      <c r="G43" s="242">
        <f t="shared" si="5"/>
        <v>59452.680000000008</v>
      </c>
      <c r="H43" s="224" t="s">
        <v>315</v>
      </c>
      <c r="I43" s="225">
        <v>14000</v>
      </c>
      <c r="J43" s="225">
        <v>37617</v>
      </c>
      <c r="K43" s="226">
        <v>40000</v>
      </c>
      <c r="L43" s="227">
        <v>225014.33</v>
      </c>
      <c r="M43" s="228">
        <f t="shared" si="6"/>
        <v>59452.680000000008</v>
      </c>
      <c r="N43" s="229">
        <v>14449.81</v>
      </c>
      <c r="O43" s="230">
        <f t="shared" si="7"/>
        <v>40502.579400000002</v>
      </c>
      <c r="P43" s="231">
        <v>5481.62</v>
      </c>
      <c r="Q43" s="221">
        <f t="shared" si="4"/>
        <v>383</v>
      </c>
      <c r="R43" s="363" t="s">
        <v>557</v>
      </c>
      <c r="S43" s="289">
        <v>228155.56</v>
      </c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</row>
    <row r="44" spans="1:51" x14ac:dyDescent="0.2">
      <c r="A44" s="241" t="s">
        <v>327</v>
      </c>
      <c r="B44" s="241" t="s">
        <v>213</v>
      </c>
      <c r="C44" s="9" t="s">
        <v>647</v>
      </c>
      <c r="D44" s="310" t="s">
        <v>61</v>
      </c>
      <c r="E44" s="241" t="s">
        <v>314</v>
      </c>
      <c r="F44" s="242">
        <v>4954.3900000000003</v>
      </c>
      <c r="G44" s="242">
        <f t="shared" si="5"/>
        <v>59452.680000000008</v>
      </c>
      <c r="H44" s="224" t="s">
        <v>315</v>
      </c>
      <c r="I44" s="225">
        <v>80000</v>
      </c>
      <c r="J44" s="225">
        <v>72288</v>
      </c>
      <c r="K44" s="226">
        <v>80000</v>
      </c>
      <c r="L44" s="227">
        <v>225014.33</v>
      </c>
      <c r="M44" s="228">
        <f t="shared" si="6"/>
        <v>59452.680000000008</v>
      </c>
      <c r="N44" s="229">
        <v>14449.81</v>
      </c>
      <c r="O44" s="230">
        <f t="shared" si="7"/>
        <v>40502.579400000002</v>
      </c>
      <c r="P44" s="231">
        <v>5481.62</v>
      </c>
      <c r="Q44" s="221">
        <f t="shared" si="4"/>
        <v>383</v>
      </c>
      <c r="R44" s="363" t="s">
        <v>558</v>
      </c>
      <c r="S44" s="289">
        <v>228156.28</v>
      </c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</row>
    <row r="45" spans="1:51" x14ac:dyDescent="0.2">
      <c r="A45" s="241" t="s">
        <v>347</v>
      </c>
      <c r="B45" s="241" t="s">
        <v>329</v>
      </c>
      <c r="C45" s="9" t="s">
        <v>657</v>
      </c>
      <c r="D45" s="312" t="s">
        <v>129</v>
      </c>
      <c r="E45" s="241" t="s">
        <v>314</v>
      </c>
      <c r="F45" s="242">
        <v>4954.3900000000003</v>
      </c>
      <c r="G45" s="242">
        <f t="shared" si="5"/>
        <v>59452.680000000008</v>
      </c>
      <c r="H45" s="224" t="s">
        <v>315</v>
      </c>
      <c r="I45" s="225">
        <v>12000</v>
      </c>
      <c r="J45" s="225">
        <v>6805</v>
      </c>
      <c r="K45" s="226">
        <v>10000</v>
      </c>
      <c r="L45" s="227">
        <v>225014.33</v>
      </c>
      <c r="M45" s="228">
        <f t="shared" si="6"/>
        <v>59452.680000000008</v>
      </c>
      <c r="N45" s="229">
        <v>14449.81</v>
      </c>
      <c r="O45" s="230">
        <f t="shared" si="7"/>
        <v>40502.579400000002</v>
      </c>
      <c r="P45" s="231">
        <v>5481.62</v>
      </c>
      <c r="Q45" s="221">
        <f t="shared" si="4"/>
        <v>383</v>
      </c>
      <c r="R45" s="363" t="s">
        <v>559</v>
      </c>
      <c r="S45" s="289">
        <v>228156.28</v>
      </c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</row>
    <row r="46" spans="1:51" x14ac:dyDescent="0.2">
      <c r="A46" s="241" t="s">
        <v>394</v>
      </c>
      <c r="B46" s="241" t="s">
        <v>395</v>
      </c>
      <c r="C46" s="9" t="s">
        <v>657</v>
      </c>
      <c r="D46" s="311" t="s">
        <v>129</v>
      </c>
      <c r="E46" s="241" t="s">
        <v>314</v>
      </c>
      <c r="F46" s="242">
        <v>4954.3900000000003</v>
      </c>
      <c r="G46" s="242">
        <f t="shared" si="5"/>
        <v>59452.680000000008</v>
      </c>
      <c r="H46" s="224" t="s">
        <v>315</v>
      </c>
      <c r="I46" s="225">
        <v>20000</v>
      </c>
      <c r="J46" s="225">
        <v>0</v>
      </c>
      <c r="K46" s="226">
        <v>15000</v>
      </c>
      <c r="L46" s="227">
        <v>225014.33</v>
      </c>
      <c r="M46" s="228">
        <f t="shared" si="6"/>
        <v>59452.680000000008</v>
      </c>
      <c r="N46" s="229">
        <v>14449.81</v>
      </c>
      <c r="O46" s="230">
        <f t="shared" si="7"/>
        <v>40502.579400000002</v>
      </c>
      <c r="P46" s="231">
        <v>5481.62</v>
      </c>
      <c r="Q46" s="221">
        <f t="shared" si="4"/>
        <v>383</v>
      </c>
      <c r="R46" s="363" t="s">
        <v>560</v>
      </c>
      <c r="S46" s="289">
        <v>228156.28</v>
      </c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</row>
    <row r="47" spans="1:51" x14ac:dyDescent="0.2">
      <c r="A47" s="241" t="s">
        <v>396</v>
      </c>
      <c r="B47" s="241" t="s">
        <v>286</v>
      </c>
      <c r="C47" s="9" t="s">
        <v>657</v>
      </c>
      <c r="D47" s="312" t="s">
        <v>129</v>
      </c>
      <c r="E47" s="241" t="s">
        <v>314</v>
      </c>
      <c r="F47" s="242">
        <v>4954.3900000000003</v>
      </c>
      <c r="G47" s="242">
        <f t="shared" si="5"/>
        <v>59452.680000000008</v>
      </c>
      <c r="H47" s="224" t="s">
        <v>315</v>
      </c>
      <c r="I47" s="225">
        <v>30000</v>
      </c>
      <c r="J47" s="225">
        <v>21548</v>
      </c>
      <c r="K47" s="226">
        <v>30000</v>
      </c>
      <c r="L47" s="227">
        <v>225014.33</v>
      </c>
      <c r="M47" s="228">
        <f t="shared" si="6"/>
        <v>59452.680000000008</v>
      </c>
      <c r="N47" s="229">
        <v>14449.81</v>
      </c>
      <c r="O47" s="230">
        <f t="shared" si="7"/>
        <v>40502.579400000002</v>
      </c>
      <c r="P47" s="231">
        <v>5481.62</v>
      </c>
      <c r="Q47" s="221">
        <f t="shared" si="4"/>
        <v>383</v>
      </c>
      <c r="R47" s="363" t="s">
        <v>561</v>
      </c>
      <c r="S47" s="289">
        <v>228156.28</v>
      </c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</row>
    <row r="48" spans="1:51" x14ac:dyDescent="0.2">
      <c r="A48" s="241" t="s">
        <v>397</v>
      </c>
      <c r="B48" s="241" t="s">
        <v>398</v>
      </c>
      <c r="C48" s="9" t="s">
        <v>656</v>
      </c>
      <c r="D48" s="312" t="s">
        <v>103</v>
      </c>
      <c r="E48" s="241" t="s">
        <v>314</v>
      </c>
      <c r="F48" s="242">
        <v>4954.3900000000003</v>
      </c>
      <c r="G48" s="242">
        <f t="shared" si="5"/>
        <v>59452.680000000008</v>
      </c>
      <c r="H48" s="224" t="s">
        <v>315</v>
      </c>
      <c r="I48" s="225">
        <v>18000</v>
      </c>
      <c r="J48" s="225">
        <v>11211</v>
      </c>
      <c r="K48" s="226">
        <v>15000</v>
      </c>
      <c r="L48" s="227">
        <v>225014.33</v>
      </c>
      <c r="M48" s="228">
        <f t="shared" si="6"/>
        <v>59452.680000000008</v>
      </c>
      <c r="N48" s="229">
        <v>14449.81</v>
      </c>
      <c r="O48" s="230">
        <f t="shared" si="7"/>
        <v>40502.579400000002</v>
      </c>
      <c r="P48" s="231">
        <v>5481.62</v>
      </c>
      <c r="Q48" s="221">
        <f t="shared" si="4"/>
        <v>383</v>
      </c>
      <c r="R48" s="363" t="s">
        <v>562</v>
      </c>
      <c r="S48" s="289">
        <v>228155.56</v>
      </c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</row>
    <row r="49" spans="1:51" x14ac:dyDescent="0.2">
      <c r="A49" s="243" t="s">
        <v>348</v>
      </c>
      <c r="B49" s="243" t="s">
        <v>346</v>
      </c>
      <c r="C49" s="9" t="s">
        <v>657</v>
      </c>
      <c r="D49" s="312" t="s">
        <v>129</v>
      </c>
      <c r="E49" s="243" t="s">
        <v>349</v>
      </c>
      <c r="F49" s="244">
        <v>5163.37</v>
      </c>
      <c r="G49" s="244">
        <f t="shared" si="5"/>
        <v>61960.44</v>
      </c>
      <c r="H49" s="224" t="s">
        <v>315</v>
      </c>
      <c r="I49" s="225">
        <v>16000</v>
      </c>
      <c r="J49" s="225">
        <v>0</v>
      </c>
      <c r="K49" s="226">
        <v>15000</v>
      </c>
      <c r="L49" s="227">
        <v>235490</v>
      </c>
      <c r="M49" s="228">
        <f t="shared" si="6"/>
        <v>61960.44</v>
      </c>
      <c r="N49" s="229">
        <v>14862.44</v>
      </c>
      <c r="O49" s="230">
        <f t="shared" si="7"/>
        <v>42388.2</v>
      </c>
      <c r="P49" s="231">
        <v>5481.62</v>
      </c>
      <c r="Q49" s="221">
        <f t="shared" si="4"/>
        <v>383</v>
      </c>
      <c r="R49" s="363" t="s">
        <v>563</v>
      </c>
      <c r="S49" s="289">
        <v>238529.56</v>
      </c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</row>
    <row r="50" spans="1:51" x14ac:dyDescent="0.2">
      <c r="A50" s="245" t="s">
        <v>334</v>
      </c>
      <c r="B50" s="245" t="s">
        <v>335</v>
      </c>
      <c r="C50" s="2" t="s">
        <v>634</v>
      </c>
      <c r="D50" s="310" t="s">
        <v>116</v>
      </c>
      <c r="E50" s="245" t="s">
        <v>310</v>
      </c>
      <c r="F50" s="246">
        <v>6998.47</v>
      </c>
      <c r="G50" s="246">
        <f t="shared" si="5"/>
        <v>83981.64</v>
      </c>
      <c r="H50" s="224" t="s">
        <v>336</v>
      </c>
      <c r="I50" s="225">
        <v>15000</v>
      </c>
      <c r="J50" s="225">
        <v>12406</v>
      </c>
      <c r="K50" s="226">
        <v>15000</v>
      </c>
      <c r="L50" s="227">
        <v>325220.26</v>
      </c>
      <c r="M50" s="228">
        <f t="shared" si="6"/>
        <v>83981.64</v>
      </c>
      <c r="N50" s="229">
        <v>18937.59</v>
      </c>
      <c r="O50" s="230">
        <f t="shared" si="7"/>
        <v>58539.646800000002</v>
      </c>
      <c r="P50" s="231">
        <v>5269.45</v>
      </c>
      <c r="Q50" s="221">
        <f>627+36</f>
        <v>663</v>
      </c>
      <c r="R50" s="363" t="s">
        <v>597</v>
      </c>
      <c r="S50" s="289">
        <f>286570.24+40119.84</f>
        <v>326690.07999999996</v>
      </c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</row>
    <row r="51" spans="1:51" x14ac:dyDescent="0.2">
      <c r="A51" s="245" t="s">
        <v>337</v>
      </c>
      <c r="B51" s="245" t="s">
        <v>338</v>
      </c>
      <c r="C51" s="2" t="s">
        <v>632</v>
      </c>
      <c r="D51" s="310" t="s">
        <v>115</v>
      </c>
      <c r="E51" s="245" t="s">
        <v>310</v>
      </c>
      <c r="F51" s="246">
        <v>6998.47</v>
      </c>
      <c r="G51" s="246">
        <f t="shared" si="5"/>
        <v>83981.64</v>
      </c>
      <c r="H51" s="224" t="s">
        <v>336</v>
      </c>
      <c r="I51" s="225">
        <v>15000</v>
      </c>
      <c r="J51" s="225">
        <v>4147</v>
      </c>
      <c r="K51" s="226">
        <v>8000</v>
      </c>
      <c r="L51" s="227">
        <v>325220.26</v>
      </c>
      <c r="M51" s="228">
        <f t="shared" si="6"/>
        <v>83981.64</v>
      </c>
      <c r="N51" s="229">
        <v>18937.59</v>
      </c>
      <c r="O51" s="230">
        <f t="shared" si="7"/>
        <v>58539.646800000002</v>
      </c>
      <c r="P51" s="231">
        <v>5239.45</v>
      </c>
      <c r="Q51" s="221">
        <f>627+36</f>
        <v>663</v>
      </c>
      <c r="R51" s="363" t="s">
        <v>598</v>
      </c>
      <c r="S51" s="289">
        <f>286570.24+40119.84</f>
        <v>326690.07999999996</v>
      </c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</row>
    <row r="52" spans="1:51" x14ac:dyDescent="0.2">
      <c r="A52" s="247" t="s">
        <v>399</v>
      </c>
      <c r="B52" s="247" t="s">
        <v>400</v>
      </c>
      <c r="C52" s="2" t="s">
        <v>648</v>
      </c>
      <c r="D52" s="312" t="s">
        <v>61</v>
      </c>
      <c r="E52" s="247" t="s">
        <v>312</v>
      </c>
      <c r="F52" s="248">
        <v>6892.51</v>
      </c>
      <c r="G52" s="248">
        <f t="shared" si="5"/>
        <v>82710.12</v>
      </c>
      <c r="H52" s="224" t="s">
        <v>336</v>
      </c>
      <c r="I52" s="225">
        <v>15000</v>
      </c>
      <c r="J52" s="225">
        <v>1697</v>
      </c>
      <c r="K52" s="226">
        <v>5000</v>
      </c>
      <c r="L52" s="227">
        <v>231156.68</v>
      </c>
      <c r="M52" s="228">
        <f t="shared" si="6"/>
        <v>82710.12</v>
      </c>
      <c r="N52" s="229">
        <v>36478.78</v>
      </c>
      <c r="O52" s="230">
        <f t="shared" si="7"/>
        <v>41608.202399999995</v>
      </c>
      <c r="P52" s="231">
        <v>6057.27</v>
      </c>
      <c r="Q52" s="221">
        <v>636</v>
      </c>
      <c r="R52" s="363" t="s">
        <v>602</v>
      </c>
      <c r="S52" s="289">
        <v>231132.32</v>
      </c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</row>
    <row r="53" spans="1:51" x14ac:dyDescent="0.2">
      <c r="A53" s="247" t="s">
        <v>401</v>
      </c>
      <c r="B53" s="247" t="s">
        <v>402</v>
      </c>
      <c r="C53" s="2" t="s">
        <v>663</v>
      </c>
      <c r="D53" s="311" t="s">
        <v>63</v>
      </c>
      <c r="E53" s="247" t="s">
        <v>312</v>
      </c>
      <c r="F53" s="248">
        <v>6892.51</v>
      </c>
      <c r="G53" s="248">
        <f t="shared" si="5"/>
        <v>82710.12</v>
      </c>
      <c r="H53" s="224" t="s">
        <v>336</v>
      </c>
      <c r="I53" s="225">
        <v>8000</v>
      </c>
      <c r="J53" s="225">
        <v>13801</v>
      </c>
      <c r="K53" s="226">
        <v>15000</v>
      </c>
      <c r="L53" s="227">
        <v>231156.68</v>
      </c>
      <c r="M53" s="228">
        <f t="shared" si="6"/>
        <v>82710.12</v>
      </c>
      <c r="N53" s="229">
        <v>36478.78</v>
      </c>
      <c r="O53" s="230">
        <f t="shared" si="7"/>
        <v>41608.202399999995</v>
      </c>
      <c r="P53" s="231">
        <v>6057.27</v>
      </c>
      <c r="Q53" s="221">
        <v>636</v>
      </c>
      <c r="R53" s="363" t="s">
        <v>603</v>
      </c>
      <c r="S53" s="289">
        <v>231132.32</v>
      </c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</row>
    <row r="54" spans="1:51" x14ac:dyDescent="0.2">
      <c r="A54" s="247" t="s">
        <v>436</v>
      </c>
      <c r="B54" s="247" t="s">
        <v>437</v>
      </c>
      <c r="C54" s="2" t="s">
        <v>663</v>
      </c>
      <c r="D54" s="312" t="s">
        <v>63</v>
      </c>
      <c r="E54" s="247" t="s">
        <v>312</v>
      </c>
      <c r="F54" s="248">
        <v>6892.51</v>
      </c>
      <c r="G54" s="248">
        <f t="shared" si="5"/>
        <v>82710.12</v>
      </c>
      <c r="H54" s="224" t="s">
        <v>336</v>
      </c>
      <c r="I54" s="225">
        <v>20000</v>
      </c>
      <c r="J54" s="225">
        <v>11906</v>
      </c>
      <c r="K54" s="226">
        <v>15000</v>
      </c>
      <c r="L54" s="227">
        <v>231156.68</v>
      </c>
      <c r="M54" s="228">
        <f t="shared" si="6"/>
        <v>82710.12</v>
      </c>
      <c r="N54" s="229">
        <v>36478.78</v>
      </c>
      <c r="O54" s="230">
        <f t="shared" si="7"/>
        <v>41608.202399999995</v>
      </c>
      <c r="P54" s="231">
        <v>6057.27</v>
      </c>
      <c r="Q54" s="221">
        <v>636</v>
      </c>
      <c r="R54" s="363" t="s">
        <v>604</v>
      </c>
      <c r="S54" s="289">
        <f>202747.65+28384.67</f>
        <v>231132.32</v>
      </c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</row>
    <row r="55" spans="1:51" x14ac:dyDescent="0.2">
      <c r="A55" s="247" t="s">
        <v>438</v>
      </c>
      <c r="B55" s="247" t="s">
        <v>439</v>
      </c>
      <c r="C55" s="2" t="s">
        <v>663</v>
      </c>
      <c r="D55" s="312" t="s">
        <v>63</v>
      </c>
      <c r="E55" s="247" t="s">
        <v>312</v>
      </c>
      <c r="F55" s="248">
        <v>6892.51</v>
      </c>
      <c r="G55" s="248">
        <f t="shared" si="5"/>
        <v>82710.12</v>
      </c>
      <c r="H55" s="224" t="s">
        <v>336</v>
      </c>
      <c r="I55" s="225">
        <v>10000</v>
      </c>
      <c r="J55" s="225">
        <v>0</v>
      </c>
      <c r="K55" s="226">
        <v>15000</v>
      </c>
      <c r="L55" s="227">
        <v>231156.68</v>
      </c>
      <c r="M55" s="228">
        <f t="shared" si="6"/>
        <v>82710.12</v>
      </c>
      <c r="N55" s="229">
        <v>36478.78</v>
      </c>
      <c r="O55" s="230">
        <f t="shared" si="7"/>
        <v>41608.202399999995</v>
      </c>
      <c r="P55" s="231">
        <v>6057.27</v>
      </c>
      <c r="Q55" s="221">
        <v>636</v>
      </c>
      <c r="R55" s="363" t="s">
        <v>605</v>
      </c>
      <c r="S55" s="289">
        <v>231132.32</v>
      </c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</row>
    <row r="56" spans="1:51" x14ac:dyDescent="0.2">
      <c r="A56" s="247" t="s">
        <v>440</v>
      </c>
      <c r="B56" s="247" t="s">
        <v>441</v>
      </c>
      <c r="C56" s="2" t="s">
        <v>661</v>
      </c>
      <c r="D56" s="311" t="s">
        <v>62</v>
      </c>
      <c r="E56" s="247" t="s">
        <v>312</v>
      </c>
      <c r="F56" s="248">
        <v>6892.51</v>
      </c>
      <c r="G56" s="248">
        <f t="shared" si="5"/>
        <v>82710.12</v>
      </c>
      <c r="H56" s="224" t="s">
        <v>336</v>
      </c>
      <c r="I56" s="225">
        <v>10000</v>
      </c>
      <c r="J56" s="225">
        <v>7795</v>
      </c>
      <c r="K56" s="226">
        <v>10000</v>
      </c>
      <c r="L56" s="227">
        <v>231156.68</v>
      </c>
      <c r="M56" s="228">
        <f t="shared" si="6"/>
        <v>82710.12</v>
      </c>
      <c r="N56" s="229">
        <v>36478.78</v>
      </c>
      <c r="O56" s="230">
        <f t="shared" si="7"/>
        <v>41608.202399999995</v>
      </c>
      <c r="P56" s="231">
        <v>6057.27</v>
      </c>
      <c r="Q56" s="221">
        <v>636</v>
      </c>
      <c r="R56" s="363" t="s">
        <v>606</v>
      </c>
      <c r="S56" s="289">
        <v>231132.32</v>
      </c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</row>
    <row r="57" spans="1:51" x14ac:dyDescent="0.2">
      <c r="A57" s="249" t="s">
        <v>339</v>
      </c>
      <c r="B57" s="249" t="s">
        <v>225</v>
      </c>
      <c r="C57" s="2" t="s">
        <v>668</v>
      </c>
      <c r="D57" s="312" t="s">
        <v>631</v>
      </c>
      <c r="E57" s="249" t="s">
        <v>340</v>
      </c>
      <c r="F57" s="250">
        <v>8221.42</v>
      </c>
      <c r="G57" s="250">
        <f t="shared" si="5"/>
        <v>98657.040000000008</v>
      </c>
      <c r="H57" s="224" t="s">
        <v>315</v>
      </c>
      <c r="I57" s="225">
        <v>25000</v>
      </c>
      <c r="J57" s="225">
        <v>8442</v>
      </c>
      <c r="K57" s="226">
        <v>10000</v>
      </c>
      <c r="L57" s="227">
        <v>297175.94</v>
      </c>
      <c r="M57" s="228">
        <f t="shared" si="6"/>
        <v>98657.040000000008</v>
      </c>
      <c r="N57" s="229">
        <v>39221.85</v>
      </c>
      <c r="O57" s="230">
        <f t="shared" si="7"/>
        <v>53491.669200000004</v>
      </c>
      <c r="P57" s="231">
        <v>6057.27</v>
      </c>
      <c r="Q57" s="221">
        <v>1838</v>
      </c>
      <c r="R57" s="363" t="s">
        <v>607</v>
      </c>
      <c r="S57" s="289">
        <v>307313.94</v>
      </c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</row>
    <row r="58" spans="1:51" x14ac:dyDescent="0.2">
      <c r="A58" s="249" t="s">
        <v>341</v>
      </c>
      <c r="B58" s="249" t="s">
        <v>226</v>
      </c>
      <c r="C58" s="2" t="s">
        <v>668</v>
      </c>
      <c r="D58" s="312" t="s">
        <v>631</v>
      </c>
      <c r="E58" s="249" t="s">
        <v>340</v>
      </c>
      <c r="F58" s="250">
        <v>8221.42</v>
      </c>
      <c r="G58" s="250">
        <f t="shared" si="5"/>
        <v>98657.040000000008</v>
      </c>
      <c r="H58" s="224" t="s">
        <v>315</v>
      </c>
      <c r="I58" s="225">
        <v>15000</v>
      </c>
      <c r="J58" s="225">
        <v>25681</v>
      </c>
      <c r="K58" s="226">
        <v>30000</v>
      </c>
      <c r="L58" s="227">
        <v>297175.94</v>
      </c>
      <c r="M58" s="228">
        <f t="shared" si="6"/>
        <v>98657.040000000008</v>
      </c>
      <c r="N58" s="229">
        <v>39221.85</v>
      </c>
      <c r="O58" s="230">
        <f t="shared" si="7"/>
        <v>53491.669200000004</v>
      </c>
      <c r="P58" s="231">
        <v>6057.27</v>
      </c>
      <c r="Q58" s="221">
        <v>1838</v>
      </c>
      <c r="R58" s="363" t="s">
        <v>608</v>
      </c>
      <c r="S58" s="289">
        <v>307313.94</v>
      </c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</row>
    <row r="59" spans="1:51" x14ac:dyDescent="0.2">
      <c r="A59" s="249" t="s">
        <v>342</v>
      </c>
      <c r="B59" s="249" t="s">
        <v>227</v>
      </c>
      <c r="C59" s="2" t="s">
        <v>668</v>
      </c>
      <c r="D59" s="312" t="s">
        <v>331</v>
      </c>
      <c r="E59" s="249" t="s">
        <v>340</v>
      </c>
      <c r="F59" s="250">
        <v>8221.42</v>
      </c>
      <c r="G59" s="250">
        <f t="shared" si="5"/>
        <v>98657.040000000008</v>
      </c>
      <c r="H59" s="224" t="s">
        <v>315</v>
      </c>
      <c r="I59" s="225">
        <v>15000</v>
      </c>
      <c r="J59" s="225">
        <v>23086</v>
      </c>
      <c r="K59" s="226">
        <v>30000</v>
      </c>
      <c r="L59" s="227">
        <v>297175.94</v>
      </c>
      <c r="M59" s="228">
        <f t="shared" si="6"/>
        <v>98657.040000000008</v>
      </c>
      <c r="N59" s="229">
        <v>39221.85</v>
      </c>
      <c r="O59" s="230">
        <f t="shared" si="7"/>
        <v>53491.669200000004</v>
      </c>
      <c r="P59" s="231">
        <v>6057.27</v>
      </c>
      <c r="Q59" s="221">
        <v>1838</v>
      </c>
      <c r="R59" s="363" t="s">
        <v>609</v>
      </c>
      <c r="S59" s="289">
        <v>307313.94</v>
      </c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</row>
    <row r="60" spans="1:51" x14ac:dyDescent="0.2">
      <c r="A60" s="249" t="s">
        <v>274</v>
      </c>
      <c r="B60" s="249" t="s">
        <v>352</v>
      </c>
      <c r="C60" s="2" t="s">
        <v>668</v>
      </c>
      <c r="D60" s="312" t="s">
        <v>331</v>
      </c>
      <c r="E60" s="249" t="s">
        <v>340</v>
      </c>
      <c r="F60" s="250">
        <v>8221.42</v>
      </c>
      <c r="G60" s="250">
        <f t="shared" si="5"/>
        <v>98657.040000000008</v>
      </c>
      <c r="H60" s="224" t="s">
        <v>315</v>
      </c>
      <c r="I60" s="225">
        <v>3000</v>
      </c>
      <c r="J60" s="225">
        <v>1646</v>
      </c>
      <c r="K60" s="226">
        <v>5000</v>
      </c>
      <c r="L60" s="227">
        <v>297175.94</v>
      </c>
      <c r="M60" s="228">
        <f t="shared" si="6"/>
        <v>98657.040000000008</v>
      </c>
      <c r="N60" s="229">
        <v>39221.85</v>
      </c>
      <c r="O60" s="230">
        <f t="shared" si="7"/>
        <v>53491.669200000004</v>
      </c>
      <c r="P60" s="231">
        <v>6057.27</v>
      </c>
      <c r="Q60" s="221">
        <v>1838</v>
      </c>
      <c r="R60" s="363" t="s">
        <v>610</v>
      </c>
      <c r="S60" s="289">
        <v>307313.94</v>
      </c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</row>
    <row r="61" spans="1:51" x14ac:dyDescent="0.2">
      <c r="A61" s="249" t="s">
        <v>353</v>
      </c>
      <c r="B61" s="249" t="s">
        <v>354</v>
      </c>
      <c r="C61" s="2" t="s">
        <v>664</v>
      </c>
      <c r="D61" s="312" t="s">
        <v>63</v>
      </c>
      <c r="E61" s="249" t="s">
        <v>340</v>
      </c>
      <c r="F61" s="250">
        <v>8221.42</v>
      </c>
      <c r="G61" s="250">
        <f t="shared" si="5"/>
        <v>98657.040000000008</v>
      </c>
      <c r="H61" s="224" t="s">
        <v>315</v>
      </c>
      <c r="I61" s="225">
        <v>10000</v>
      </c>
      <c r="J61" s="225">
        <v>12980</v>
      </c>
      <c r="K61" s="226">
        <v>15000</v>
      </c>
      <c r="L61" s="227">
        <v>297175.94</v>
      </c>
      <c r="M61" s="228">
        <f t="shared" si="6"/>
        <v>98657.040000000008</v>
      </c>
      <c r="N61" s="229">
        <v>39221.85</v>
      </c>
      <c r="O61" s="230">
        <f t="shared" si="7"/>
        <v>53491.669200000004</v>
      </c>
      <c r="P61" s="231">
        <v>6057.27</v>
      </c>
      <c r="Q61" s="221">
        <v>1838</v>
      </c>
      <c r="R61" s="363" t="s">
        <v>611</v>
      </c>
      <c r="S61" s="289">
        <v>307313.94</v>
      </c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AX61" s="215"/>
      <c r="AY61" s="215"/>
    </row>
    <row r="62" spans="1:51" x14ac:dyDescent="0.2">
      <c r="A62" s="249" t="s">
        <v>275</v>
      </c>
      <c r="B62" s="249" t="s">
        <v>355</v>
      </c>
      <c r="C62" s="2" t="s">
        <v>649</v>
      </c>
      <c r="D62" s="312" t="s">
        <v>61</v>
      </c>
      <c r="E62" s="249" t="s">
        <v>340</v>
      </c>
      <c r="F62" s="250">
        <v>8221.42</v>
      </c>
      <c r="G62" s="250">
        <f t="shared" si="5"/>
        <v>98657.040000000008</v>
      </c>
      <c r="H62" s="224" t="s">
        <v>315</v>
      </c>
      <c r="I62" s="225">
        <v>12000</v>
      </c>
      <c r="J62" s="225">
        <v>8992</v>
      </c>
      <c r="K62" s="226">
        <v>10000</v>
      </c>
      <c r="L62" s="227">
        <v>297175.94</v>
      </c>
      <c r="M62" s="228">
        <f t="shared" si="6"/>
        <v>98657.040000000008</v>
      </c>
      <c r="N62" s="229">
        <v>39221.85</v>
      </c>
      <c r="O62" s="230">
        <f t="shared" si="7"/>
        <v>53491.669200000004</v>
      </c>
      <c r="P62" s="231">
        <v>6057.27</v>
      </c>
      <c r="Q62" s="221">
        <v>1838</v>
      </c>
      <c r="R62" s="363" t="s">
        <v>612</v>
      </c>
      <c r="S62" s="289">
        <v>307313.94</v>
      </c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</row>
    <row r="63" spans="1:51" x14ac:dyDescent="0.2">
      <c r="A63" s="249" t="s">
        <v>276</v>
      </c>
      <c r="B63" s="249" t="s">
        <v>356</v>
      </c>
      <c r="C63" s="2" t="s">
        <v>658</v>
      </c>
      <c r="D63" s="311" t="s">
        <v>129</v>
      </c>
      <c r="E63" s="249" t="s">
        <v>340</v>
      </c>
      <c r="F63" s="250">
        <v>8221.42</v>
      </c>
      <c r="G63" s="250">
        <f t="shared" si="5"/>
        <v>98657.040000000008</v>
      </c>
      <c r="H63" s="224" t="s">
        <v>315</v>
      </c>
      <c r="I63" s="225">
        <v>2500</v>
      </c>
      <c r="J63" s="225">
        <v>11347</v>
      </c>
      <c r="K63" s="226">
        <v>15000</v>
      </c>
      <c r="L63" s="227">
        <v>297175.94</v>
      </c>
      <c r="M63" s="228">
        <f t="shared" si="6"/>
        <v>98657.040000000008</v>
      </c>
      <c r="N63" s="229">
        <v>39221.85</v>
      </c>
      <c r="O63" s="230">
        <f t="shared" si="7"/>
        <v>53491.669200000004</v>
      </c>
      <c r="P63" s="231">
        <v>6057.27</v>
      </c>
      <c r="Q63" s="221">
        <v>1838</v>
      </c>
      <c r="R63" s="363" t="s">
        <v>613</v>
      </c>
      <c r="S63" s="289">
        <v>307313.94</v>
      </c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</row>
    <row r="64" spans="1:51" x14ac:dyDescent="0.2">
      <c r="A64" s="249" t="s">
        <v>277</v>
      </c>
      <c r="B64" s="249" t="s">
        <v>357</v>
      </c>
      <c r="C64" s="2" t="s">
        <v>668</v>
      </c>
      <c r="D64" s="311" t="s">
        <v>331</v>
      </c>
      <c r="E64" s="249" t="s">
        <v>340</v>
      </c>
      <c r="F64" s="250">
        <v>8221.42</v>
      </c>
      <c r="G64" s="250">
        <f t="shared" si="5"/>
        <v>98657.040000000008</v>
      </c>
      <c r="H64" s="224" t="s">
        <v>315</v>
      </c>
      <c r="I64" s="225">
        <v>10000</v>
      </c>
      <c r="J64" s="225">
        <v>5660</v>
      </c>
      <c r="K64" s="226">
        <v>10000</v>
      </c>
      <c r="L64" s="227">
        <v>297175.94</v>
      </c>
      <c r="M64" s="228">
        <f t="shared" si="6"/>
        <v>98657.040000000008</v>
      </c>
      <c r="N64" s="229">
        <v>39221.85</v>
      </c>
      <c r="O64" s="230">
        <f t="shared" si="7"/>
        <v>53491.669200000004</v>
      </c>
      <c r="P64" s="231">
        <v>6057.27</v>
      </c>
      <c r="Q64" s="221">
        <v>1838</v>
      </c>
      <c r="R64" s="366" t="s">
        <v>1475</v>
      </c>
      <c r="S64" s="291">
        <v>307313.94</v>
      </c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</row>
    <row r="65" spans="1:51" x14ac:dyDescent="0.2">
      <c r="A65" s="249" t="s">
        <v>364</v>
      </c>
      <c r="B65" s="249" t="s">
        <v>365</v>
      </c>
      <c r="C65" s="2" t="s">
        <v>658</v>
      </c>
      <c r="D65" s="312" t="s">
        <v>129</v>
      </c>
      <c r="E65" s="249" t="s">
        <v>340</v>
      </c>
      <c r="F65" s="250">
        <v>8221.42</v>
      </c>
      <c r="G65" s="250">
        <f t="shared" si="5"/>
        <v>98657.040000000008</v>
      </c>
      <c r="H65" s="224" t="s">
        <v>315</v>
      </c>
      <c r="I65" s="225">
        <v>12000</v>
      </c>
      <c r="J65" s="225">
        <v>7306</v>
      </c>
      <c r="K65" s="226">
        <v>10000</v>
      </c>
      <c r="L65" s="227">
        <v>297175.94</v>
      </c>
      <c r="M65" s="228">
        <f t="shared" si="6"/>
        <v>98657.040000000008</v>
      </c>
      <c r="N65" s="229">
        <v>39221.85</v>
      </c>
      <c r="O65" s="230">
        <f t="shared" si="7"/>
        <v>53491.669200000004</v>
      </c>
      <c r="P65" s="231">
        <v>6057.27</v>
      </c>
      <c r="Q65" s="221">
        <v>1838</v>
      </c>
      <c r="R65" s="363" t="s">
        <v>614</v>
      </c>
      <c r="S65" s="289">
        <v>307313.94</v>
      </c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  <c r="AW65" s="215"/>
      <c r="AX65" s="215"/>
      <c r="AY65" s="215"/>
    </row>
    <row r="66" spans="1:51" x14ac:dyDescent="0.2">
      <c r="A66" s="249" t="s">
        <v>366</v>
      </c>
      <c r="B66" s="249" t="s">
        <v>367</v>
      </c>
      <c r="C66" s="2" t="s">
        <v>664</v>
      </c>
      <c r="D66" s="310" t="s">
        <v>63</v>
      </c>
      <c r="E66" s="249" t="s">
        <v>340</v>
      </c>
      <c r="F66" s="250">
        <v>8221.42</v>
      </c>
      <c r="G66" s="250">
        <f t="shared" ref="G66:G89" si="8">+F66*12</f>
        <v>98657.040000000008</v>
      </c>
      <c r="H66" s="224" t="s">
        <v>315</v>
      </c>
      <c r="I66" s="225">
        <v>9000</v>
      </c>
      <c r="J66" s="225">
        <v>7542</v>
      </c>
      <c r="K66" s="226">
        <v>10000</v>
      </c>
      <c r="L66" s="227">
        <v>297175.94</v>
      </c>
      <c r="M66" s="228">
        <f t="shared" ref="M66:M89" si="9">+F66*12</f>
        <v>98657.040000000008</v>
      </c>
      <c r="N66" s="229">
        <v>39221.85</v>
      </c>
      <c r="O66" s="230">
        <f t="shared" ref="O66:O100" si="10">+L66*0.9/5</f>
        <v>53491.669200000004</v>
      </c>
      <c r="P66" s="231">
        <v>6057.27</v>
      </c>
      <c r="Q66" s="221">
        <v>1838</v>
      </c>
      <c r="R66" s="363" t="s">
        <v>615</v>
      </c>
      <c r="S66" s="289">
        <v>307313.94</v>
      </c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  <c r="AX66" s="215"/>
      <c r="AY66" s="215"/>
    </row>
    <row r="67" spans="1:51" x14ac:dyDescent="0.2">
      <c r="A67" s="249" t="s">
        <v>368</v>
      </c>
      <c r="B67" s="249" t="s">
        <v>369</v>
      </c>
      <c r="C67" s="2" t="s">
        <v>668</v>
      </c>
      <c r="D67" s="313" t="s">
        <v>331</v>
      </c>
      <c r="E67" s="249" t="s">
        <v>340</v>
      </c>
      <c r="F67" s="250">
        <v>8221.42</v>
      </c>
      <c r="G67" s="250">
        <f t="shared" si="8"/>
        <v>98657.040000000008</v>
      </c>
      <c r="H67" s="224" t="s">
        <v>315</v>
      </c>
      <c r="I67" s="225">
        <v>15000</v>
      </c>
      <c r="J67" s="225">
        <v>0</v>
      </c>
      <c r="K67" s="226">
        <v>15000</v>
      </c>
      <c r="L67" s="227">
        <v>297175.94</v>
      </c>
      <c r="M67" s="228">
        <f t="shared" si="9"/>
        <v>98657.040000000008</v>
      </c>
      <c r="N67" s="229">
        <v>39221.85</v>
      </c>
      <c r="O67" s="230">
        <f t="shared" si="10"/>
        <v>53491.669200000004</v>
      </c>
      <c r="P67" s="231">
        <v>6057.27</v>
      </c>
      <c r="Q67" s="221">
        <v>1838</v>
      </c>
      <c r="R67" s="363" t="s">
        <v>616</v>
      </c>
      <c r="S67" s="289">
        <v>307313.94</v>
      </c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</row>
    <row r="68" spans="1:51" x14ac:dyDescent="0.2">
      <c r="A68" s="249" t="s">
        <v>370</v>
      </c>
      <c r="B68" s="249" t="s">
        <v>371</v>
      </c>
      <c r="C68" s="2" t="s">
        <v>649</v>
      </c>
      <c r="D68" s="314" t="s">
        <v>61</v>
      </c>
      <c r="E68" s="249" t="s">
        <v>340</v>
      </c>
      <c r="F68" s="250">
        <v>8221.42</v>
      </c>
      <c r="G68" s="250">
        <f t="shared" si="8"/>
        <v>98657.040000000008</v>
      </c>
      <c r="H68" s="224" t="s">
        <v>315</v>
      </c>
      <c r="I68" s="225">
        <v>25000</v>
      </c>
      <c r="J68" s="225">
        <v>16190</v>
      </c>
      <c r="K68" s="226">
        <v>20000</v>
      </c>
      <c r="L68" s="227">
        <v>297175.94</v>
      </c>
      <c r="M68" s="228">
        <f t="shared" si="9"/>
        <v>98657.040000000008</v>
      </c>
      <c r="N68" s="229">
        <v>39221.85</v>
      </c>
      <c r="O68" s="230">
        <f t="shared" si="10"/>
        <v>53491.669200000004</v>
      </c>
      <c r="P68" s="231">
        <v>6057.27</v>
      </c>
      <c r="Q68" s="221">
        <v>1838</v>
      </c>
      <c r="R68" s="363" t="s">
        <v>1476</v>
      </c>
      <c r="S68" s="289">
        <v>307313.94</v>
      </c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</row>
    <row r="69" spans="1:51" x14ac:dyDescent="0.2">
      <c r="A69" s="249" t="s">
        <v>378</v>
      </c>
      <c r="B69" s="249" t="s">
        <v>379</v>
      </c>
      <c r="C69" s="2" t="s">
        <v>662</v>
      </c>
      <c r="D69" s="311" t="s">
        <v>62</v>
      </c>
      <c r="E69" s="249" t="s">
        <v>340</v>
      </c>
      <c r="F69" s="250">
        <v>8221.42</v>
      </c>
      <c r="G69" s="250">
        <f t="shared" si="8"/>
        <v>98657.040000000008</v>
      </c>
      <c r="H69" s="224" t="s">
        <v>315</v>
      </c>
      <c r="I69" s="225">
        <v>5000</v>
      </c>
      <c r="J69" s="225">
        <v>3477</v>
      </c>
      <c r="K69" s="226">
        <v>8000</v>
      </c>
      <c r="L69" s="227">
        <v>297175.94</v>
      </c>
      <c r="M69" s="228">
        <f t="shared" si="9"/>
        <v>98657.040000000008</v>
      </c>
      <c r="N69" s="229">
        <v>39221.85</v>
      </c>
      <c r="O69" s="230">
        <f t="shared" si="10"/>
        <v>53491.669200000004</v>
      </c>
      <c r="P69" s="231">
        <v>6057.27</v>
      </c>
      <c r="Q69" s="221">
        <v>1838</v>
      </c>
      <c r="R69" s="363" t="s">
        <v>617</v>
      </c>
      <c r="S69" s="289">
        <v>307313.94</v>
      </c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</row>
    <row r="70" spans="1:51" x14ac:dyDescent="0.2">
      <c r="A70" s="249" t="s">
        <v>384</v>
      </c>
      <c r="B70" s="249" t="s">
        <v>385</v>
      </c>
      <c r="C70" s="2" t="s">
        <v>649</v>
      </c>
      <c r="D70" s="311" t="s">
        <v>61</v>
      </c>
      <c r="E70" s="249" t="s">
        <v>340</v>
      </c>
      <c r="F70" s="250">
        <v>8221.42</v>
      </c>
      <c r="G70" s="250">
        <f t="shared" si="8"/>
        <v>98657.040000000008</v>
      </c>
      <c r="H70" s="224" t="s">
        <v>315</v>
      </c>
      <c r="I70" s="225">
        <v>6000</v>
      </c>
      <c r="J70" s="225">
        <v>10546</v>
      </c>
      <c r="K70" s="226">
        <v>15000</v>
      </c>
      <c r="L70" s="227">
        <v>297175.94</v>
      </c>
      <c r="M70" s="228">
        <f t="shared" si="9"/>
        <v>98657.040000000008</v>
      </c>
      <c r="N70" s="229">
        <v>39221.85</v>
      </c>
      <c r="O70" s="230">
        <f t="shared" si="10"/>
        <v>53491.669200000004</v>
      </c>
      <c r="P70" s="231">
        <v>6057.27</v>
      </c>
      <c r="Q70" s="221">
        <v>1838</v>
      </c>
      <c r="R70" s="363" t="s">
        <v>618</v>
      </c>
      <c r="S70" s="289">
        <v>307313.94</v>
      </c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  <c r="AK70" s="215"/>
      <c r="AL70" s="215"/>
      <c r="AM70" s="215"/>
      <c r="AN70" s="215"/>
      <c r="AO70" s="215"/>
      <c r="AP70" s="215"/>
      <c r="AQ70" s="215"/>
      <c r="AR70" s="215"/>
      <c r="AS70" s="215"/>
      <c r="AT70" s="215"/>
      <c r="AU70" s="215"/>
      <c r="AV70" s="215"/>
      <c r="AW70" s="215"/>
      <c r="AX70" s="215"/>
      <c r="AY70" s="215"/>
    </row>
    <row r="71" spans="1:51" x14ac:dyDescent="0.2">
      <c r="A71" s="249" t="s">
        <v>446</v>
      </c>
      <c r="B71" s="249" t="s">
        <v>445</v>
      </c>
      <c r="C71" s="2" t="s">
        <v>668</v>
      </c>
      <c r="D71" s="314" t="s">
        <v>331</v>
      </c>
      <c r="E71" s="249" t="s">
        <v>340</v>
      </c>
      <c r="F71" s="250">
        <v>8221.42</v>
      </c>
      <c r="G71" s="250">
        <f t="shared" si="8"/>
        <v>98657.040000000008</v>
      </c>
      <c r="H71" s="224" t="s">
        <v>315</v>
      </c>
      <c r="I71" s="225">
        <v>20000</v>
      </c>
      <c r="J71" s="225">
        <v>0</v>
      </c>
      <c r="K71" s="226">
        <v>20000</v>
      </c>
      <c r="L71" s="227">
        <v>297175.94</v>
      </c>
      <c r="M71" s="228">
        <f t="shared" si="9"/>
        <v>98657.040000000008</v>
      </c>
      <c r="N71" s="229">
        <v>39221.85</v>
      </c>
      <c r="O71" s="230">
        <f t="shared" si="10"/>
        <v>53491.669200000004</v>
      </c>
      <c r="P71" s="231">
        <v>6057.27</v>
      </c>
      <c r="Q71" s="221">
        <v>1838</v>
      </c>
      <c r="R71" s="363" t="s">
        <v>690</v>
      </c>
      <c r="S71" s="289">
        <v>307313.94</v>
      </c>
      <c r="T71" s="215"/>
      <c r="U71" s="215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I71" s="215"/>
      <c r="AJ71" s="215"/>
      <c r="AK71" s="215"/>
      <c r="AL71" s="215"/>
      <c r="AM71" s="215"/>
      <c r="AN71" s="215"/>
      <c r="AO71" s="215"/>
      <c r="AP71" s="215"/>
      <c r="AQ71" s="215"/>
      <c r="AR71" s="215"/>
      <c r="AS71" s="215"/>
      <c r="AT71" s="215"/>
      <c r="AU71" s="215"/>
      <c r="AV71" s="215"/>
      <c r="AW71" s="215"/>
      <c r="AX71" s="215"/>
      <c r="AY71" s="215"/>
    </row>
    <row r="72" spans="1:51" x14ac:dyDescent="0.2">
      <c r="A72" s="249" t="s">
        <v>447</v>
      </c>
      <c r="B72" s="249" t="s">
        <v>445</v>
      </c>
      <c r="C72" s="2" t="s">
        <v>668</v>
      </c>
      <c r="D72" s="314" t="s">
        <v>331</v>
      </c>
      <c r="E72" s="249" t="s">
        <v>340</v>
      </c>
      <c r="F72" s="250">
        <v>8221.42</v>
      </c>
      <c r="G72" s="250">
        <f t="shared" si="8"/>
        <v>98657.040000000008</v>
      </c>
      <c r="H72" s="224" t="s">
        <v>315</v>
      </c>
      <c r="I72" s="225">
        <v>20000</v>
      </c>
      <c r="J72" s="225">
        <v>0</v>
      </c>
      <c r="K72" s="226">
        <v>20000</v>
      </c>
      <c r="L72" s="227">
        <v>297175.94</v>
      </c>
      <c r="M72" s="228">
        <f t="shared" si="9"/>
        <v>98657.040000000008</v>
      </c>
      <c r="N72" s="229">
        <v>39221.85</v>
      </c>
      <c r="O72" s="230">
        <f t="shared" si="10"/>
        <v>53491.669200000004</v>
      </c>
      <c r="P72" s="231">
        <v>6057.27</v>
      </c>
      <c r="Q72" s="221">
        <v>1838</v>
      </c>
      <c r="R72" s="363" t="s">
        <v>1477</v>
      </c>
      <c r="S72" s="289">
        <v>307313.94</v>
      </c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215"/>
      <c r="AM72" s="215"/>
      <c r="AN72" s="215"/>
      <c r="AO72" s="215"/>
      <c r="AP72" s="215"/>
      <c r="AQ72" s="215"/>
      <c r="AR72" s="215"/>
      <c r="AS72" s="215"/>
      <c r="AT72" s="215"/>
      <c r="AU72" s="215"/>
      <c r="AV72" s="215"/>
      <c r="AW72" s="215"/>
      <c r="AX72" s="215"/>
      <c r="AY72" s="215"/>
    </row>
    <row r="73" spans="1:51" x14ac:dyDescent="0.2">
      <c r="A73" s="249" t="s">
        <v>448</v>
      </c>
      <c r="B73" s="249" t="s">
        <v>445</v>
      </c>
      <c r="C73" s="2" t="s">
        <v>668</v>
      </c>
      <c r="D73" s="314" t="s">
        <v>331</v>
      </c>
      <c r="E73" s="249" t="s">
        <v>340</v>
      </c>
      <c r="F73" s="250">
        <v>8221.42</v>
      </c>
      <c r="G73" s="250">
        <f t="shared" si="8"/>
        <v>98657.040000000008</v>
      </c>
      <c r="H73" s="224" t="s">
        <v>315</v>
      </c>
      <c r="I73" s="225">
        <v>20000</v>
      </c>
      <c r="J73" s="225">
        <v>0</v>
      </c>
      <c r="K73" s="226">
        <v>20000</v>
      </c>
      <c r="L73" s="227">
        <v>297175.94</v>
      </c>
      <c r="M73" s="228">
        <f t="shared" si="9"/>
        <v>98657.040000000008</v>
      </c>
      <c r="N73" s="229">
        <v>39221.85</v>
      </c>
      <c r="O73" s="230">
        <f t="shared" si="10"/>
        <v>53491.669200000004</v>
      </c>
      <c r="P73" s="231">
        <v>6057.27</v>
      </c>
      <c r="Q73" s="221">
        <v>1838</v>
      </c>
      <c r="R73" s="363" t="s">
        <v>1478</v>
      </c>
      <c r="S73" s="289">
        <v>307313.94</v>
      </c>
      <c r="T73" s="215"/>
      <c r="U73" s="215"/>
      <c r="V73" s="215"/>
      <c r="W73" s="215"/>
      <c r="X73" s="215"/>
      <c r="Y73" s="215"/>
      <c r="Z73" s="215"/>
      <c r="AA73" s="215"/>
      <c r="AB73" s="215"/>
      <c r="AC73" s="215"/>
      <c r="AD73" s="215"/>
      <c r="AE73" s="215"/>
      <c r="AF73" s="215"/>
      <c r="AG73" s="215"/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5"/>
      <c r="AS73" s="215"/>
      <c r="AT73" s="215"/>
      <c r="AU73" s="215"/>
      <c r="AV73" s="215"/>
      <c r="AW73" s="215"/>
      <c r="AX73" s="215"/>
      <c r="AY73" s="215"/>
    </row>
    <row r="74" spans="1:51" x14ac:dyDescent="0.2">
      <c r="A74" s="251" t="s">
        <v>375</v>
      </c>
      <c r="B74" s="251" t="s">
        <v>376</v>
      </c>
      <c r="C74" s="300" t="s">
        <v>665</v>
      </c>
      <c r="D74" s="311" t="s">
        <v>63</v>
      </c>
      <c r="E74" s="251" t="s">
        <v>377</v>
      </c>
      <c r="F74" s="252">
        <v>10212.11</v>
      </c>
      <c r="G74" s="252">
        <f t="shared" si="8"/>
        <v>122545.32</v>
      </c>
      <c r="H74" s="224" t="s">
        <v>315</v>
      </c>
      <c r="I74" s="225">
        <v>16000</v>
      </c>
      <c r="J74" s="225">
        <v>1258</v>
      </c>
      <c r="K74" s="226">
        <v>5000</v>
      </c>
      <c r="L74" s="227">
        <v>330991</v>
      </c>
      <c r="M74" s="228">
        <f t="shared" si="9"/>
        <v>122545.32</v>
      </c>
      <c r="N74" s="229">
        <v>56347.12</v>
      </c>
      <c r="O74" s="230">
        <f t="shared" si="10"/>
        <v>59578.380000000005</v>
      </c>
      <c r="P74" s="231">
        <v>6057.27</v>
      </c>
      <c r="Q74" s="221">
        <v>1838</v>
      </c>
      <c r="R74" s="364" t="s">
        <v>1486</v>
      </c>
      <c r="S74" s="291">
        <v>392555.92</v>
      </c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215"/>
      <c r="AV74" s="215"/>
      <c r="AW74" s="215"/>
      <c r="AX74" s="215"/>
      <c r="AY74" s="215"/>
    </row>
    <row r="75" spans="1:51" x14ac:dyDescent="0.2">
      <c r="A75" s="253" t="s">
        <v>278</v>
      </c>
      <c r="B75" s="253" t="s">
        <v>350</v>
      </c>
      <c r="C75" s="301" t="s">
        <v>669</v>
      </c>
      <c r="D75" s="312" t="s">
        <v>331</v>
      </c>
      <c r="E75" s="253" t="s">
        <v>351</v>
      </c>
      <c r="F75" s="254">
        <v>9227.8799999999992</v>
      </c>
      <c r="G75" s="254">
        <f t="shared" si="8"/>
        <v>110734.56</v>
      </c>
      <c r="H75" s="224" t="s">
        <v>315</v>
      </c>
      <c r="I75" s="225">
        <v>800</v>
      </c>
      <c r="J75" s="225">
        <v>5094</v>
      </c>
      <c r="K75" s="226">
        <v>10000</v>
      </c>
      <c r="L75" s="227">
        <v>347126.5</v>
      </c>
      <c r="M75" s="228">
        <f t="shared" si="9"/>
        <v>110734.56</v>
      </c>
      <c r="N75" s="229">
        <v>41309.26</v>
      </c>
      <c r="O75" s="230">
        <f t="shared" si="10"/>
        <v>62482.770000000004</v>
      </c>
      <c r="P75" s="231">
        <v>6057.27</v>
      </c>
      <c r="Q75" s="221">
        <v>1838</v>
      </c>
      <c r="R75" s="363" t="s">
        <v>691</v>
      </c>
      <c r="S75" s="289"/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5"/>
      <c r="AW75" s="215"/>
      <c r="AX75" s="215"/>
      <c r="AY75" s="215"/>
    </row>
    <row r="76" spans="1:51" x14ac:dyDescent="0.2">
      <c r="A76" s="253" t="s">
        <v>279</v>
      </c>
      <c r="B76" s="253" t="s">
        <v>363</v>
      </c>
      <c r="C76" s="301" t="s">
        <v>669</v>
      </c>
      <c r="D76" s="312" t="s">
        <v>331</v>
      </c>
      <c r="E76" s="253" t="s">
        <v>351</v>
      </c>
      <c r="F76" s="254">
        <v>9227.8799999999992</v>
      </c>
      <c r="G76" s="254">
        <f t="shared" si="8"/>
        <v>110734.56</v>
      </c>
      <c r="H76" s="224" t="s">
        <v>315</v>
      </c>
      <c r="I76" s="225">
        <v>10000</v>
      </c>
      <c r="J76" s="225">
        <v>4946</v>
      </c>
      <c r="K76" s="226">
        <v>8000</v>
      </c>
      <c r="L76" s="227">
        <v>347126.5</v>
      </c>
      <c r="M76" s="228">
        <f t="shared" si="9"/>
        <v>110734.56</v>
      </c>
      <c r="N76" s="229">
        <v>41309.26</v>
      </c>
      <c r="O76" s="230">
        <f t="shared" si="10"/>
        <v>62482.770000000004</v>
      </c>
      <c r="P76" s="231">
        <v>6057.27</v>
      </c>
      <c r="Q76" s="221">
        <v>1838</v>
      </c>
      <c r="R76" s="363" t="s">
        <v>692</v>
      </c>
      <c r="S76" s="289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215"/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</row>
    <row r="77" spans="1:51" x14ac:dyDescent="0.2">
      <c r="A77" s="255" t="s">
        <v>413</v>
      </c>
      <c r="B77" s="255" t="s">
        <v>414</v>
      </c>
      <c r="C77" s="9" t="s">
        <v>666</v>
      </c>
      <c r="D77" s="312" t="s">
        <v>304</v>
      </c>
      <c r="E77" s="255" t="s">
        <v>318</v>
      </c>
      <c r="F77" s="256">
        <v>12140.7</v>
      </c>
      <c r="G77" s="256">
        <f t="shared" si="8"/>
        <v>145688.40000000002</v>
      </c>
      <c r="H77" s="224" t="s">
        <v>336</v>
      </c>
      <c r="I77" s="225">
        <v>15000</v>
      </c>
      <c r="J77" s="225">
        <v>14844</v>
      </c>
      <c r="K77" s="226">
        <v>20000</v>
      </c>
      <c r="L77" s="227">
        <v>446281.03</v>
      </c>
      <c r="M77" s="228">
        <f t="shared" si="9"/>
        <v>145688.40000000002</v>
      </c>
      <c r="N77" s="229">
        <v>56432.19</v>
      </c>
      <c r="O77" s="230">
        <f t="shared" si="10"/>
        <v>80330.585400000011</v>
      </c>
      <c r="P77" s="231">
        <v>6057.27</v>
      </c>
      <c r="Q77" s="221">
        <f>3166+36</f>
        <v>3202</v>
      </c>
      <c r="R77" s="363" t="s">
        <v>619</v>
      </c>
      <c r="S77" s="289">
        <v>460673.37</v>
      </c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  <c r="AF77" s="215"/>
      <c r="AG77" s="215"/>
      <c r="AH77" s="215"/>
      <c r="AI77" s="215"/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</row>
    <row r="78" spans="1:51" x14ac:dyDescent="0.2">
      <c r="A78" s="255" t="s">
        <v>415</v>
      </c>
      <c r="B78" s="255" t="s">
        <v>416</v>
      </c>
      <c r="C78" s="9" t="s">
        <v>666</v>
      </c>
      <c r="D78" s="312" t="s">
        <v>304</v>
      </c>
      <c r="E78" s="255" t="s">
        <v>318</v>
      </c>
      <c r="F78" s="256">
        <v>12140.7</v>
      </c>
      <c r="G78" s="256">
        <f t="shared" si="8"/>
        <v>145688.40000000002</v>
      </c>
      <c r="H78" s="224" t="s">
        <v>336</v>
      </c>
      <c r="I78" s="225">
        <v>36000</v>
      </c>
      <c r="J78" s="225">
        <v>470</v>
      </c>
      <c r="K78" s="226">
        <v>5000</v>
      </c>
      <c r="L78" s="227">
        <v>446281.03</v>
      </c>
      <c r="M78" s="228">
        <f t="shared" si="9"/>
        <v>145688.40000000002</v>
      </c>
      <c r="N78" s="229">
        <v>56432.19</v>
      </c>
      <c r="O78" s="230">
        <f t="shared" si="10"/>
        <v>80330.585400000011</v>
      </c>
      <c r="P78" s="231">
        <v>6057.27</v>
      </c>
      <c r="Q78" s="221">
        <f>3166+36</f>
        <v>3202</v>
      </c>
      <c r="R78" s="363" t="s">
        <v>620</v>
      </c>
      <c r="S78" s="289">
        <v>460673.37</v>
      </c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</row>
    <row r="79" spans="1:51" x14ac:dyDescent="0.2">
      <c r="A79" s="255" t="s">
        <v>417</v>
      </c>
      <c r="B79" s="255" t="s">
        <v>418</v>
      </c>
      <c r="C79" s="9" t="s">
        <v>666</v>
      </c>
      <c r="D79" s="312" t="s">
        <v>304</v>
      </c>
      <c r="E79" s="255" t="s">
        <v>318</v>
      </c>
      <c r="F79" s="256">
        <v>12140.7</v>
      </c>
      <c r="G79" s="256">
        <f t="shared" si="8"/>
        <v>145688.40000000002</v>
      </c>
      <c r="H79" s="224" t="s">
        <v>336</v>
      </c>
      <c r="I79" s="225">
        <v>36000</v>
      </c>
      <c r="J79" s="225">
        <v>12594</v>
      </c>
      <c r="K79" s="226">
        <v>15000</v>
      </c>
      <c r="L79" s="227">
        <v>446281.03</v>
      </c>
      <c r="M79" s="228">
        <f t="shared" si="9"/>
        <v>145688.40000000002</v>
      </c>
      <c r="N79" s="229">
        <v>56432.19</v>
      </c>
      <c r="O79" s="230">
        <f t="shared" si="10"/>
        <v>80330.585400000011</v>
      </c>
      <c r="P79" s="231">
        <v>6057.27</v>
      </c>
      <c r="Q79" s="221">
        <f>3166+36</f>
        <v>3202</v>
      </c>
      <c r="R79" s="363" t="s">
        <v>621</v>
      </c>
      <c r="S79" s="289">
        <v>460673.37</v>
      </c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</row>
    <row r="80" spans="1:51" x14ac:dyDescent="0.2">
      <c r="A80" s="257" t="s">
        <v>381</v>
      </c>
      <c r="B80" s="257" t="s">
        <v>382</v>
      </c>
      <c r="C80" s="302" t="s">
        <v>650</v>
      </c>
      <c r="D80" s="312" t="s">
        <v>61</v>
      </c>
      <c r="E80" s="257" t="s">
        <v>383</v>
      </c>
      <c r="F80" s="258">
        <v>13295.81</v>
      </c>
      <c r="G80" s="258">
        <f t="shared" si="8"/>
        <v>159549.72</v>
      </c>
      <c r="H80" s="224" t="s">
        <v>315</v>
      </c>
      <c r="I80" s="225">
        <v>15000</v>
      </c>
      <c r="J80" s="225">
        <v>6513</v>
      </c>
      <c r="K80" s="226">
        <v>10000</v>
      </c>
      <c r="L80" s="227">
        <v>546796.32999999996</v>
      </c>
      <c r="M80" s="228">
        <f t="shared" si="9"/>
        <v>159549.72</v>
      </c>
      <c r="N80" s="229">
        <v>50190.45</v>
      </c>
      <c r="O80" s="230">
        <f t="shared" si="10"/>
        <v>98423.339399999997</v>
      </c>
      <c r="P80" s="231">
        <v>6057.27</v>
      </c>
      <c r="Q80" s="221">
        <f t="shared" ref="Q80:Q89" si="11">5248+36</f>
        <v>5284</v>
      </c>
      <c r="R80" s="363" t="s">
        <v>622</v>
      </c>
      <c r="S80" s="289">
        <v>546295.24</v>
      </c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</row>
    <row r="81" spans="1:51" x14ac:dyDescent="0.2">
      <c r="A81" s="257" t="s">
        <v>442</v>
      </c>
      <c r="B81" s="257" t="s">
        <v>443</v>
      </c>
      <c r="C81" s="302" t="s">
        <v>650</v>
      </c>
      <c r="D81" s="313" t="s">
        <v>61</v>
      </c>
      <c r="E81" s="257" t="s">
        <v>383</v>
      </c>
      <c r="F81" s="258">
        <v>13295.81</v>
      </c>
      <c r="G81" s="258">
        <f t="shared" si="8"/>
        <v>159549.72</v>
      </c>
      <c r="H81" s="224" t="s">
        <v>315</v>
      </c>
      <c r="I81" s="225">
        <v>20000</v>
      </c>
      <c r="J81" s="225">
        <v>0</v>
      </c>
      <c r="K81" s="226">
        <v>15000</v>
      </c>
      <c r="L81" s="227">
        <v>546796.32999999996</v>
      </c>
      <c r="M81" s="228">
        <f t="shared" si="9"/>
        <v>159549.72</v>
      </c>
      <c r="N81" s="229">
        <v>50190.45</v>
      </c>
      <c r="O81" s="230">
        <f t="shared" si="10"/>
        <v>98423.339399999997</v>
      </c>
      <c r="P81" s="231">
        <v>6057.27</v>
      </c>
      <c r="Q81" s="221">
        <f t="shared" si="11"/>
        <v>5284</v>
      </c>
      <c r="R81" s="363" t="s">
        <v>623</v>
      </c>
      <c r="S81" s="292">
        <v>546295.24</v>
      </c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</row>
    <row r="82" spans="1:51" x14ac:dyDescent="0.2">
      <c r="A82" s="224" t="s">
        <v>444</v>
      </c>
      <c r="B82" s="224"/>
      <c r="C82" s="302" t="s">
        <v>650</v>
      </c>
      <c r="D82" s="311" t="s">
        <v>61</v>
      </c>
      <c r="E82" s="257" t="s">
        <v>383</v>
      </c>
      <c r="F82" s="258">
        <v>13296.81</v>
      </c>
      <c r="G82" s="258">
        <f t="shared" si="8"/>
        <v>159561.72</v>
      </c>
      <c r="H82" s="224" t="s">
        <v>315</v>
      </c>
      <c r="I82" s="225">
        <v>20000</v>
      </c>
      <c r="J82" s="225">
        <v>0</v>
      </c>
      <c r="K82" s="226">
        <v>20000</v>
      </c>
      <c r="L82" s="227">
        <v>546796.32999999996</v>
      </c>
      <c r="M82" s="228">
        <f t="shared" si="9"/>
        <v>159561.72</v>
      </c>
      <c r="N82" s="229">
        <v>50190.45</v>
      </c>
      <c r="O82" s="230">
        <f t="shared" si="10"/>
        <v>98423.339399999997</v>
      </c>
      <c r="P82" s="231">
        <v>6057.27</v>
      </c>
      <c r="Q82" s="221">
        <f t="shared" si="11"/>
        <v>5284</v>
      </c>
      <c r="R82" s="363" t="s">
        <v>693</v>
      </c>
      <c r="S82" s="294">
        <v>546295.24</v>
      </c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  <c r="AF82" s="215"/>
      <c r="AG82" s="215"/>
      <c r="AH82" s="215"/>
      <c r="AI82" s="215"/>
      <c r="AJ82" s="215"/>
      <c r="AK82" s="215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  <c r="AV82" s="215"/>
      <c r="AW82" s="215"/>
      <c r="AX82" s="215"/>
      <c r="AY82" s="215"/>
    </row>
    <row r="83" spans="1:51" x14ac:dyDescent="0.2">
      <c r="A83" s="259" t="s">
        <v>281</v>
      </c>
      <c r="B83" s="259" t="s">
        <v>361</v>
      </c>
      <c r="C83" s="2" t="s">
        <v>688</v>
      </c>
      <c r="D83" s="312" t="s">
        <v>331</v>
      </c>
      <c r="E83" s="259" t="s">
        <v>362</v>
      </c>
      <c r="F83" s="260">
        <v>13260.01</v>
      </c>
      <c r="G83" s="260">
        <f t="shared" si="8"/>
        <v>159120.12</v>
      </c>
      <c r="H83" s="224" t="s">
        <v>315</v>
      </c>
      <c r="I83" s="225">
        <v>16000</v>
      </c>
      <c r="J83" s="225">
        <v>7998</v>
      </c>
      <c r="K83" s="226">
        <v>10000</v>
      </c>
      <c r="L83" s="227">
        <v>599155</v>
      </c>
      <c r="M83" s="228">
        <f t="shared" si="9"/>
        <v>159120.12</v>
      </c>
      <c r="N83" s="229">
        <v>39289.120000000003</v>
      </c>
      <c r="O83" s="230">
        <f t="shared" si="10"/>
        <v>107847.9</v>
      </c>
      <c r="P83" s="231">
        <v>6057.27</v>
      </c>
      <c r="Q83" s="221">
        <f t="shared" si="11"/>
        <v>5284</v>
      </c>
      <c r="R83" s="366" t="s">
        <v>624</v>
      </c>
      <c r="S83" s="289">
        <v>606965.84</v>
      </c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  <c r="AF83" s="215"/>
      <c r="AG83" s="215"/>
      <c r="AH83" s="215"/>
      <c r="AI83" s="215"/>
      <c r="AJ83" s="215"/>
      <c r="AK83" s="215"/>
      <c r="AL83" s="215"/>
      <c r="AM83" s="215"/>
      <c r="AN83" s="215"/>
      <c r="AO83" s="215"/>
      <c r="AP83" s="215"/>
      <c r="AQ83" s="215"/>
      <c r="AR83" s="215"/>
      <c r="AS83" s="215"/>
      <c r="AT83" s="215"/>
      <c r="AU83" s="215"/>
      <c r="AV83" s="215"/>
      <c r="AW83" s="215"/>
      <c r="AX83" s="215"/>
      <c r="AY83" s="215"/>
    </row>
    <row r="84" spans="1:51" x14ac:dyDescent="0.2">
      <c r="A84" s="261" t="s">
        <v>282</v>
      </c>
      <c r="B84" s="261" t="s">
        <v>358</v>
      </c>
      <c r="C84" s="2" t="s">
        <v>689</v>
      </c>
      <c r="D84" s="312" t="s">
        <v>61</v>
      </c>
      <c r="E84" s="261" t="s">
        <v>359</v>
      </c>
      <c r="F84" s="262">
        <v>15645.86</v>
      </c>
      <c r="G84" s="262">
        <f t="shared" si="8"/>
        <v>187750.32</v>
      </c>
      <c r="H84" s="224" t="s">
        <v>315</v>
      </c>
      <c r="I84" s="225">
        <v>11000</v>
      </c>
      <c r="J84" s="225">
        <v>0</v>
      </c>
      <c r="K84" s="226">
        <v>15000</v>
      </c>
      <c r="L84" s="227">
        <v>663469.5</v>
      </c>
      <c r="M84" s="228">
        <f t="shared" si="9"/>
        <v>187750.32</v>
      </c>
      <c r="N84" s="229">
        <v>55056.42</v>
      </c>
      <c r="O84" s="230">
        <f t="shared" si="10"/>
        <v>119424.51000000001</v>
      </c>
      <c r="P84" s="231">
        <v>9511.2000000000007</v>
      </c>
      <c r="Q84" s="221">
        <f t="shared" si="11"/>
        <v>5284</v>
      </c>
      <c r="R84" s="366" t="s">
        <v>625</v>
      </c>
      <c r="S84" s="289">
        <v>662932.69999999995</v>
      </c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</row>
    <row r="85" spans="1:51" x14ac:dyDescent="0.2">
      <c r="A85" s="261" t="s">
        <v>283</v>
      </c>
      <c r="B85" s="261" t="s">
        <v>360</v>
      </c>
      <c r="C85" s="2" t="s">
        <v>688</v>
      </c>
      <c r="D85" s="312" t="s">
        <v>631</v>
      </c>
      <c r="E85" s="261" t="s">
        <v>359</v>
      </c>
      <c r="F85" s="262">
        <v>15645.86</v>
      </c>
      <c r="G85" s="262">
        <f t="shared" si="8"/>
        <v>187750.32</v>
      </c>
      <c r="H85" s="224" t="s">
        <v>315</v>
      </c>
      <c r="I85" s="225">
        <v>8000</v>
      </c>
      <c r="J85" s="225">
        <v>7881</v>
      </c>
      <c r="K85" s="226">
        <v>10000</v>
      </c>
      <c r="L85" s="227">
        <v>663469.5</v>
      </c>
      <c r="M85" s="228">
        <f t="shared" si="9"/>
        <v>187750.32</v>
      </c>
      <c r="N85" s="229">
        <v>55056.42</v>
      </c>
      <c r="O85" s="230">
        <f t="shared" si="10"/>
        <v>119424.51000000001</v>
      </c>
      <c r="P85" s="231">
        <v>9511.2000000000007</v>
      </c>
      <c r="Q85" s="221">
        <f t="shared" si="11"/>
        <v>5284</v>
      </c>
      <c r="R85" s="366" t="s">
        <v>694</v>
      </c>
      <c r="S85" s="289">
        <v>662932.69999999995</v>
      </c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  <c r="AV85" s="215"/>
      <c r="AW85" s="215"/>
      <c r="AX85" s="215"/>
      <c r="AY85" s="215"/>
    </row>
    <row r="86" spans="1:51" x14ac:dyDescent="0.2">
      <c r="A86" s="263" t="s">
        <v>433</v>
      </c>
      <c r="B86" s="263" t="s">
        <v>434</v>
      </c>
      <c r="C86" s="303" t="s">
        <v>651</v>
      </c>
      <c r="D86" s="311" t="s">
        <v>61</v>
      </c>
      <c r="E86" s="263" t="s">
        <v>435</v>
      </c>
      <c r="F86" s="264">
        <v>12999.17</v>
      </c>
      <c r="G86" s="264">
        <f t="shared" si="8"/>
        <v>155990.04</v>
      </c>
      <c r="H86" s="224" t="s">
        <v>315</v>
      </c>
      <c r="I86" s="225">
        <v>10000</v>
      </c>
      <c r="J86" s="225">
        <v>6710</v>
      </c>
      <c r="K86" s="226">
        <v>10000</v>
      </c>
      <c r="L86" s="227">
        <v>532068</v>
      </c>
      <c r="M86" s="228">
        <f t="shared" si="9"/>
        <v>155990.04</v>
      </c>
      <c r="N86" s="229">
        <v>49576.44</v>
      </c>
      <c r="O86" s="230">
        <f t="shared" si="10"/>
        <v>95772.24</v>
      </c>
      <c r="P86" s="231">
        <v>6057.27</v>
      </c>
      <c r="Q86" s="221">
        <f t="shared" si="11"/>
        <v>5284</v>
      </c>
      <c r="R86" s="366" t="s">
        <v>1479</v>
      </c>
      <c r="S86" s="289">
        <v>532068.57999999996</v>
      </c>
      <c r="T86" s="215"/>
      <c r="U86" s="215"/>
      <c r="V86" s="280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</row>
    <row r="87" spans="1:51" x14ac:dyDescent="0.2">
      <c r="A87" s="265" t="s">
        <v>372</v>
      </c>
      <c r="B87" s="265" t="s">
        <v>373</v>
      </c>
      <c r="C87" s="304" t="s">
        <v>660</v>
      </c>
      <c r="D87" s="308" t="s">
        <v>131</v>
      </c>
      <c r="E87" s="265" t="s">
        <v>374</v>
      </c>
      <c r="F87" s="266">
        <v>13362.3</v>
      </c>
      <c r="G87" s="266">
        <f t="shared" si="8"/>
        <v>160347.59999999998</v>
      </c>
      <c r="H87" s="224" t="s">
        <v>315</v>
      </c>
      <c r="I87" s="225">
        <v>40000</v>
      </c>
      <c r="J87" s="225">
        <v>8193</v>
      </c>
      <c r="K87" s="226">
        <v>10000</v>
      </c>
      <c r="L87" s="227">
        <v>532068</v>
      </c>
      <c r="M87" s="228">
        <f t="shared" si="9"/>
        <v>160347.59999999998</v>
      </c>
      <c r="N87" s="229">
        <v>53934</v>
      </c>
      <c r="O87" s="230">
        <f t="shared" si="10"/>
        <v>95772.24</v>
      </c>
      <c r="P87" s="231">
        <v>6057.27</v>
      </c>
      <c r="Q87" s="221">
        <f t="shared" si="11"/>
        <v>5284</v>
      </c>
      <c r="R87" s="366" t="s">
        <v>1480</v>
      </c>
      <c r="S87" s="289">
        <v>532068</v>
      </c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  <c r="AX87" s="215"/>
      <c r="AY87" s="215"/>
    </row>
    <row r="88" spans="1:51" x14ac:dyDescent="0.2">
      <c r="A88" s="257" t="s">
        <v>343</v>
      </c>
      <c r="B88" s="257" t="s">
        <v>228</v>
      </c>
      <c r="C88" s="302" t="s">
        <v>659</v>
      </c>
      <c r="D88" s="315" t="s">
        <v>129</v>
      </c>
      <c r="E88" s="257" t="s">
        <v>321</v>
      </c>
      <c r="F88" s="258">
        <v>14670.23</v>
      </c>
      <c r="G88" s="258">
        <f t="shared" si="8"/>
        <v>176042.76</v>
      </c>
      <c r="H88" s="224" t="s">
        <v>315</v>
      </c>
      <c r="I88" s="225">
        <v>45000</v>
      </c>
      <c r="J88" s="225">
        <v>37489</v>
      </c>
      <c r="K88" s="226">
        <v>40000</v>
      </c>
      <c r="L88" s="227">
        <v>615032</v>
      </c>
      <c r="M88" s="228">
        <f t="shared" si="9"/>
        <v>176042.76</v>
      </c>
      <c r="N88" s="229">
        <v>53036.36</v>
      </c>
      <c r="O88" s="230">
        <f t="shared" si="10"/>
        <v>110705.76000000001</v>
      </c>
      <c r="P88" s="231">
        <v>6057.27</v>
      </c>
      <c r="Q88" s="221">
        <f t="shared" si="11"/>
        <v>5284</v>
      </c>
      <c r="R88" s="366" t="s">
        <v>1481</v>
      </c>
      <c r="S88" s="289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</row>
    <row r="89" spans="1:51" ht="13.5" thickBot="1" x14ac:dyDescent="0.25">
      <c r="A89" s="275" t="s">
        <v>344</v>
      </c>
      <c r="B89" s="275" t="s">
        <v>345</v>
      </c>
      <c r="C89" s="305" t="s">
        <v>667</v>
      </c>
      <c r="D89" s="316" t="s">
        <v>304</v>
      </c>
      <c r="E89" s="275" t="s">
        <v>323</v>
      </c>
      <c r="F89" s="276">
        <v>40000</v>
      </c>
      <c r="G89" s="276">
        <f t="shared" si="8"/>
        <v>480000</v>
      </c>
      <c r="H89" s="277" t="s">
        <v>471</v>
      </c>
      <c r="I89" s="225">
        <v>10000</v>
      </c>
      <c r="J89" s="225">
        <v>11306</v>
      </c>
      <c r="K89" s="226">
        <v>15000</v>
      </c>
      <c r="L89" s="227">
        <v>1367901.39</v>
      </c>
      <c r="M89" s="228">
        <f t="shared" si="9"/>
        <v>480000</v>
      </c>
      <c r="N89" s="229">
        <v>206419.72</v>
      </c>
      <c r="O89" s="230">
        <f t="shared" si="10"/>
        <v>246222.25019999998</v>
      </c>
      <c r="P89" s="231">
        <v>9717.98</v>
      </c>
      <c r="Q89" s="221">
        <f t="shared" si="11"/>
        <v>5284</v>
      </c>
      <c r="R89" s="366" t="s">
        <v>1482</v>
      </c>
      <c r="S89" s="289">
        <v>1406963.49</v>
      </c>
      <c r="T89" s="215"/>
      <c r="U89" s="215"/>
      <c r="V89" s="215"/>
      <c r="W89" s="215"/>
      <c r="X89" s="215"/>
      <c r="Y89" s="215"/>
      <c r="Z89" s="215"/>
      <c r="AA89" s="215"/>
      <c r="AB89" s="215"/>
      <c r="AC89" s="215"/>
      <c r="AD89" s="215"/>
      <c r="AE89" s="215"/>
      <c r="AF89" s="215"/>
      <c r="AG89" s="215"/>
      <c r="AH89" s="215"/>
      <c r="AI89" s="215"/>
      <c r="AJ89" s="215"/>
      <c r="AK89" s="215"/>
      <c r="AL89" s="215"/>
      <c r="AM89" s="215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</row>
    <row r="90" spans="1:51" ht="13.5" thickBot="1" x14ac:dyDescent="0.25">
      <c r="A90" s="278" t="s">
        <v>454</v>
      </c>
      <c r="B90" s="278" t="s">
        <v>445</v>
      </c>
      <c r="C90" s="287" t="s">
        <v>652</v>
      </c>
      <c r="D90" s="317" t="s">
        <v>61</v>
      </c>
      <c r="E90" s="278" t="s">
        <v>465</v>
      </c>
      <c r="F90" s="279"/>
      <c r="G90" s="279"/>
      <c r="H90" s="278" t="s">
        <v>470</v>
      </c>
      <c r="I90" s="268"/>
      <c r="J90" s="268">
        <v>0</v>
      </c>
      <c r="K90" s="269"/>
      <c r="L90" s="270">
        <v>711671</v>
      </c>
      <c r="M90" s="271">
        <v>200000</v>
      </c>
      <c r="N90" s="271">
        <v>60000</v>
      </c>
      <c r="O90" s="271">
        <f t="shared" si="10"/>
        <v>128100.78</v>
      </c>
      <c r="P90" s="271">
        <v>9800</v>
      </c>
      <c r="Q90" s="237">
        <v>6500</v>
      </c>
      <c r="R90" s="366" t="s">
        <v>626</v>
      </c>
      <c r="S90" s="289">
        <v>672484.51</v>
      </c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I90" s="215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</row>
    <row r="91" spans="1:51" s="238" customFormat="1" ht="13.5" thickBot="1" x14ac:dyDescent="0.25">
      <c r="A91" s="278" t="s">
        <v>455</v>
      </c>
      <c r="B91" s="278" t="s">
        <v>445</v>
      </c>
      <c r="C91" s="287" t="s">
        <v>652</v>
      </c>
      <c r="D91" s="317" t="s">
        <v>61</v>
      </c>
      <c r="E91" s="278" t="s">
        <v>465</v>
      </c>
      <c r="F91" s="279"/>
      <c r="G91" s="279"/>
      <c r="H91" s="278" t="s">
        <v>470</v>
      </c>
      <c r="I91" s="268"/>
      <c r="J91" s="268">
        <v>0</v>
      </c>
      <c r="K91" s="269"/>
      <c r="L91" s="270">
        <v>711671</v>
      </c>
      <c r="M91" s="271">
        <v>200000</v>
      </c>
      <c r="N91" s="271">
        <v>60000</v>
      </c>
      <c r="O91" s="271">
        <f t="shared" si="10"/>
        <v>128100.78</v>
      </c>
      <c r="P91" s="271">
        <v>9800</v>
      </c>
      <c r="Q91" s="237">
        <v>6500</v>
      </c>
      <c r="R91" s="366" t="s">
        <v>627</v>
      </c>
      <c r="S91" s="289">
        <v>672484.51</v>
      </c>
      <c r="T91" s="237"/>
      <c r="U91" s="237"/>
      <c r="V91" s="237"/>
      <c r="W91" s="237"/>
      <c r="X91" s="237"/>
      <c r="Y91" s="237"/>
      <c r="Z91" s="237"/>
      <c r="AA91" s="237"/>
      <c r="AB91" s="237"/>
      <c r="AC91" s="237"/>
      <c r="AD91" s="237"/>
      <c r="AE91" s="237"/>
      <c r="AF91" s="237"/>
      <c r="AG91" s="237"/>
      <c r="AH91" s="237"/>
      <c r="AI91" s="237"/>
      <c r="AJ91" s="237"/>
      <c r="AK91" s="237"/>
      <c r="AL91" s="237"/>
      <c r="AM91" s="237"/>
      <c r="AN91" s="237"/>
      <c r="AO91" s="237"/>
      <c r="AP91" s="237"/>
      <c r="AQ91" s="237"/>
      <c r="AR91" s="237"/>
      <c r="AS91" s="237"/>
      <c r="AT91" s="237"/>
      <c r="AU91" s="237"/>
      <c r="AV91" s="237"/>
      <c r="AW91" s="237"/>
      <c r="AX91" s="237"/>
      <c r="AY91" s="237"/>
    </row>
    <row r="92" spans="1:51" s="238" customFormat="1" ht="13.5" thickBot="1" x14ac:dyDescent="0.25">
      <c r="A92" s="278" t="s">
        <v>456</v>
      </c>
      <c r="B92" s="278" t="s">
        <v>445</v>
      </c>
      <c r="C92" s="287" t="s">
        <v>653</v>
      </c>
      <c r="D92" s="317" t="s">
        <v>61</v>
      </c>
      <c r="E92" s="278" t="s">
        <v>466</v>
      </c>
      <c r="F92" s="279"/>
      <c r="G92" s="279"/>
      <c r="H92" s="278" t="s">
        <v>471</v>
      </c>
      <c r="I92" s="268"/>
      <c r="J92" s="268">
        <v>0</v>
      </c>
      <c r="K92" s="269"/>
      <c r="L92" s="270">
        <v>799683.51</v>
      </c>
      <c r="M92" s="271">
        <v>220000</v>
      </c>
      <c r="N92" s="271">
        <v>80000</v>
      </c>
      <c r="O92" s="271">
        <f t="shared" si="10"/>
        <v>143943.0318</v>
      </c>
      <c r="P92" s="271">
        <v>9800</v>
      </c>
      <c r="Q92" s="237">
        <v>6500</v>
      </c>
      <c r="R92" s="397" t="s">
        <v>1483</v>
      </c>
      <c r="S92" s="290"/>
      <c r="T92" s="23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237"/>
      <c r="AH92" s="237"/>
      <c r="AI92" s="237"/>
      <c r="AJ92" s="237"/>
      <c r="AK92" s="237"/>
      <c r="AL92" s="237"/>
      <c r="AM92" s="237"/>
      <c r="AN92" s="237"/>
      <c r="AO92" s="237"/>
      <c r="AP92" s="237"/>
      <c r="AQ92" s="237"/>
      <c r="AR92" s="237"/>
      <c r="AS92" s="237"/>
      <c r="AT92" s="237"/>
      <c r="AU92" s="237"/>
      <c r="AV92" s="237"/>
      <c r="AW92" s="237"/>
      <c r="AX92" s="237"/>
      <c r="AY92" s="237"/>
    </row>
    <row r="93" spans="1:51" s="238" customFormat="1" ht="13.5" thickBot="1" x14ac:dyDescent="0.25">
      <c r="A93" s="278" t="s">
        <v>457</v>
      </c>
      <c r="B93" s="278" t="s">
        <v>445</v>
      </c>
      <c r="C93" s="287" t="s">
        <v>653</v>
      </c>
      <c r="D93" s="317" t="s">
        <v>61</v>
      </c>
      <c r="E93" s="278" t="s">
        <v>466</v>
      </c>
      <c r="F93" s="279"/>
      <c r="G93" s="279"/>
      <c r="H93" s="278" t="s">
        <v>471</v>
      </c>
      <c r="I93" s="268"/>
      <c r="J93" s="268">
        <v>0</v>
      </c>
      <c r="K93" s="269"/>
      <c r="L93" s="270">
        <v>799683.51</v>
      </c>
      <c r="M93" s="271">
        <v>220000</v>
      </c>
      <c r="N93" s="271">
        <v>80000</v>
      </c>
      <c r="O93" s="271">
        <f t="shared" si="10"/>
        <v>143943.0318</v>
      </c>
      <c r="P93" s="271">
        <v>9800</v>
      </c>
      <c r="Q93" s="237">
        <v>6500</v>
      </c>
      <c r="R93" s="397" t="s">
        <v>1484</v>
      </c>
      <c r="S93" s="290"/>
      <c r="T93" s="237"/>
      <c r="U93" s="237"/>
      <c r="V93" s="237"/>
      <c r="W93" s="237"/>
      <c r="X93" s="237"/>
      <c r="Y93" s="237"/>
      <c r="Z93" s="237"/>
      <c r="AA93" s="237"/>
      <c r="AB93" s="237"/>
      <c r="AC93" s="237"/>
      <c r="AD93" s="237"/>
      <c r="AE93" s="237"/>
      <c r="AF93" s="237"/>
      <c r="AG93" s="237"/>
      <c r="AH93" s="237"/>
      <c r="AI93" s="237"/>
      <c r="AJ93" s="237"/>
      <c r="AK93" s="237"/>
      <c r="AL93" s="237"/>
      <c r="AM93" s="237"/>
      <c r="AN93" s="237"/>
      <c r="AO93" s="237"/>
      <c r="AP93" s="237"/>
      <c r="AQ93" s="237"/>
      <c r="AR93" s="237"/>
      <c r="AS93" s="237"/>
      <c r="AT93" s="237"/>
      <c r="AU93" s="237"/>
      <c r="AV93" s="237"/>
      <c r="AW93" s="237"/>
      <c r="AX93" s="237"/>
      <c r="AY93" s="237"/>
    </row>
    <row r="94" spans="1:51" s="238" customFormat="1" ht="13.5" thickBot="1" x14ac:dyDescent="0.25">
      <c r="A94" s="278" t="s">
        <v>458</v>
      </c>
      <c r="B94" s="278" t="s">
        <v>445</v>
      </c>
      <c r="C94" s="287" t="s">
        <v>654</v>
      </c>
      <c r="D94" s="318" t="s">
        <v>61</v>
      </c>
      <c r="E94" s="278" t="s">
        <v>467</v>
      </c>
      <c r="F94" s="279"/>
      <c r="G94" s="279"/>
      <c r="H94" s="278" t="s">
        <v>471</v>
      </c>
      <c r="I94" s="268"/>
      <c r="J94" s="268">
        <v>0</v>
      </c>
      <c r="K94" s="269"/>
      <c r="L94" s="270">
        <f>1374995/2</f>
        <v>687497.5</v>
      </c>
      <c r="M94" s="271">
        <v>200000</v>
      </c>
      <c r="N94" s="271">
        <v>60000</v>
      </c>
      <c r="O94" s="271">
        <f t="shared" si="10"/>
        <v>123749.55</v>
      </c>
      <c r="P94" s="271">
        <v>9800</v>
      </c>
      <c r="Q94" s="237">
        <v>6500</v>
      </c>
      <c r="R94" s="366" t="s">
        <v>695</v>
      </c>
      <c r="S94" s="290">
        <v>703582.92</v>
      </c>
      <c r="T94" s="237"/>
      <c r="U94" s="237"/>
      <c r="V94" s="237"/>
      <c r="W94" s="237"/>
      <c r="X94" s="237"/>
      <c r="Y94" s="237"/>
      <c r="Z94" s="237"/>
      <c r="AA94" s="237"/>
      <c r="AB94" s="237"/>
      <c r="AC94" s="237"/>
      <c r="AD94" s="237"/>
      <c r="AE94" s="237"/>
      <c r="AF94" s="237"/>
      <c r="AG94" s="237"/>
      <c r="AH94" s="237"/>
      <c r="AI94" s="237"/>
      <c r="AJ94" s="237"/>
      <c r="AK94" s="237"/>
      <c r="AL94" s="237"/>
      <c r="AM94" s="237"/>
      <c r="AN94" s="237"/>
      <c r="AO94" s="237"/>
      <c r="AP94" s="237"/>
      <c r="AQ94" s="237"/>
      <c r="AR94" s="237"/>
      <c r="AS94" s="237"/>
      <c r="AT94" s="237"/>
      <c r="AU94" s="237"/>
      <c r="AV94" s="237"/>
      <c r="AW94" s="237"/>
      <c r="AX94" s="237"/>
      <c r="AY94" s="237"/>
    </row>
    <row r="95" spans="1:51" s="238" customFormat="1" ht="13.5" thickBot="1" x14ac:dyDescent="0.25">
      <c r="A95" s="278" t="s">
        <v>459</v>
      </c>
      <c r="B95" s="278" t="s">
        <v>445</v>
      </c>
      <c r="C95" s="287" t="s">
        <v>654</v>
      </c>
      <c r="D95" s="317" t="s">
        <v>61</v>
      </c>
      <c r="E95" s="278" t="s">
        <v>467</v>
      </c>
      <c r="F95" s="279"/>
      <c r="G95" s="279"/>
      <c r="H95" s="278" t="s">
        <v>471</v>
      </c>
      <c r="I95" s="268"/>
      <c r="J95" s="268">
        <v>0</v>
      </c>
      <c r="K95" s="269"/>
      <c r="L95" s="270">
        <v>687497.5</v>
      </c>
      <c r="M95" s="271">
        <v>200000</v>
      </c>
      <c r="N95" s="271">
        <v>60000</v>
      </c>
      <c r="O95" s="271">
        <f t="shared" si="10"/>
        <v>123749.55</v>
      </c>
      <c r="P95" s="271">
        <v>9800</v>
      </c>
      <c r="Q95" s="237">
        <v>6500</v>
      </c>
      <c r="R95" s="365" t="s">
        <v>1487</v>
      </c>
      <c r="S95" s="291">
        <v>703582.92</v>
      </c>
      <c r="T95" s="237"/>
      <c r="U95" s="237"/>
      <c r="V95" s="237"/>
      <c r="W95" s="237"/>
      <c r="X95" s="237"/>
      <c r="Y95" s="237"/>
      <c r="Z95" s="237"/>
      <c r="AA95" s="237"/>
      <c r="AB95" s="237"/>
      <c r="AC95" s="237"/>
      <c r="AD95" s="237"/>
      <c r="AE95" s="237"/>
      <c r="AF95" s="237"/>
      <c r="AG95" s="237"/>
      <c r="AH95" s="237"/>
      <c r="AI95" s="237"/>
      <c r="AJ95" s="237"/>
      <c r="AK95" s="237"/>
      <c r="AL95" s="237"/>
      <c r="AM95" s="237"/>
      <c r="AN95" s="237"/>
      <c r="AO95" s="237"/>
      <c r="AP95" s="237"/>
      <c r="AQ95" s="237"/>
      <c r="AR95" s="237"/>
      <c r="AS95" s="237"/>
      <c r="AT95" s="237"/>
      <c r="AU95" s="237"/>
      <c r="AV95" s="237"/>
      <c r="AW95" s="237"/>
      <c r="AX95" s="237"/>
      <c r="AY95" s="237"/>
    </row>
    <row r="96" spans="1:51" s="238" customFormat="1" ht="13.5" thickBot="1" x14ac:dyDescent="0.25">
      <c r="A96" s="278" t="s">
        <v>460</v>
      </c>
      <c r="B96" s="278" t="s">
        <v>445</v>
      </c>
      <c r="C96" s="287" t="s">
        <v>655</v>
      </c>
      <c r="D96" s="317" t="s">
        <v>61</v>
      </c>
      <c r="E96" s="278" t="s">
        <v>468</v>
      </c>
      <c r="F96" s="279"/>
      <c r="G96" s="279"/>
      <c r="H96" s="278" t="s">
        <v>472</v>
      </c>
      <c r="I96" s="268"/>
      <c r="J96" s="268">
        <v>0</v>
      </c>
      <c r="K96" s="269"/>
      <c r="L96" s="270">
        <f>1910640/4</f>
        <v>477660</v>
      </c>
      <c r="M96" s="271">
        <v>150000</v>
      </c>
      <c r="N96" s="271">
        <v>50000</v>
      </c>
      <c r="O96" s="271">
        <f t="shared" si="10"/>
        <v>85978.8</v>
      </c>
      <c r="P96" s="271">
        <v>9800</v>
      </c>
      <c r="Q96" s="237">
        <v>6500</v>
      </c>
      <c r="R96" s="366" t="s">
        <v>1471</v>
      </c>
      <c r="S96" s="290">
        <f>1910640/4</f>
        <v>477660</v>
      </c>
      <c r="T96" s="237"/>
      <c r="U96" s="237"/>
      <c r="V96" s="237"/>
      <c r="W96" s="237"/>
      <c r="X96" s="237"/>
      <c r="Y96" s="237"/>
      <c r="Z96" s="237"/>
      <c r="AA96" s="237"/>
      <c r="AB96" s="237"/>
      <c r="AC96" s="237"/>
      <c r="AD96" s="237"/>
      <c r="AE96" s="237"/>
      <c r="AF96" s="237"/>
      <c r="AG96" s="237"/>
      <c r="AH96" s="237"/>
      <c r="AI96" s="237"/>
      <c r="AJ96" s="237"/>
      <c r="AK96" s="237"/>
      <c r="AL96" s="237"/>
      <c r="AM96" s="237"/>
      <c r="AN96" s="237"/>
      <c r="AO96" s="237"/>
      <c r="AP96" s="237"/>
      <c r="AQ96" s="237"/>
      <c r="AR96" s="237"/>
      <c r="AS96" s="237"/>
      <c r="AT96" s="237"/>
      <c r="AU96" s="237"/>
      <c r="AV96" s="237"/>
      <c r="AW96" s="237"/>
      <c r="AX96" s="237"/>
      <c r="AY96" s="237"/>
    </row>
    <row r="97" spans="1:51" s="238" customFormat="1" ht="13.5" thickBot="1" x14ac:dyDescent="0.25">
      <c r="A97" s="278" t="s">
        <v>461</v>
      </c>
      <c r="B97" s="278" t="s">
        <v>445</v>
      </c>
      <c r="C97" s="287" t="s">
        <v>655</v>
      </c>
      <c r="D97" s="317" t="s">
        <v>61</v>
      </c>
      <c r="E97" s="278" t="s">
        <v>468</v>
      </c>
      <c r="F97" s="279"/>
      <c r="G97" s="279"/>
      <c r="H97" s="278" t="s">
        <v>472</v>
      </c>
      <c r="I97" s="268"/>
      <c r="J97" s="268">
        <v>0</v>
      </c>
      <c r="K97" s="269"/>
      <c r="L97" s="270">
        <v>477660</v>
      </c>
      <c r="M97" s="271">
        <v>150000</v>
      </c>
      <c r="N97" s="271">
        <v>50000</v>
      </c>
      <c r="O97" s="271">
        <f t="shared" si="10"/>
        <v>85978.8</v>
      </c>
      <c r="P97" s="271">
        <v>9800</v>
      </c>
      <c r="Q97" s="237">
        <v>6500</v>
      </c>
      <c r="R97" s="366" t="s">
        <v>1472</v>
      </c>
      <c r="S97" s="290">
        <f>1910640/4</f>
        <v>477660</v>
      </c>
      <c r="T97" s="237"/>
      <c r="U97" s="237"/>
      <c r="V97" s="237"/>
      <c r="W97" s="237"/>
      <c r="X97" s="237"/>
      <c r="Y97" s="237"/>
      <c r="Z97" s="237"/>
      <c r="AA97" s="237"/>
      <c r="AB97" s="237"/>
      <c r="AC97" s="237"/>
      <c r="AD97" s="237"/>
      <c r="AE97" s="237"/>
      <c r="AF97" s="237"/>
      <c r="AG97" s="237"/>
      <c r="AH97" s="237"/>
      <c r="AI97" s="237"/>
      <c r="AJ97" s="237"/>
      <c r="AK97" s="237"/>
      <c r="AL97" s="237"/>
      <c r="AM97" s="237"/>
      <c r="AN97" s="237"/>
      <c r="AO97" s="237"/>
      <c r="AP97" s="237"/>
      <c r="AQ97" s="237"/>
      <c r="AR97" s="237"/>
      <c r="AS97" s="237"/>
      <c r="AT97" s="237"/>
      <c r="AU97" s="237"/>
      <c r="AV97" s="237"/>
      <c r="AW97" s="237"/>
      <c r="AX97" s="237"/>
      <c r="AY97" s="237"/>
    </row>
    <row r="98" spans="1:51" s="238" customFormat="1" ht="13.5" thickBot="1" x14ac:dyDescent="0.25">
      <c r="A98" s="278" t="s">
        <v>462</v>
      </c>
      <c r="B98" s="278" t="s">
        <v>445</v>
      </c>
      <c r="C98" s="287" t="s">
        <v>655</v>
      </c>
      <c r="D98" s="317" t="s">
        <v>61</v>
      </c>
      <c r="E98" s="278" t="s">
        <v>468</v>
      </c>
      <c r="F98" s="279"/>
      <c r="G98" s="279"/>
      <c r="H98" s="278" t="s">
        <v>472</v>
      </c>
      <c r="I98" s="268"/>
      <c r="J98" s="268">
        <v>0</v>
      </c>
      <c r="K98" s="269"/>
      <c r="L98" s="270">
        <v>477660</v>
      </c>
      <c r="M98" s="271">
        <v>150000</v>
      </c>
      <c r="N98" s="271">
        <v>50000</v>
      </c>
      <c r="O98" s="271">
        <f t="shared" si="10"/>
        <v>85978.8</v>
      </c>
      <c r="P98" s="271">
        <v>9800</v>
      </c>
      <c r="Q98" s="237">
        <v>6500</v>
      </c>
      <c r="R98" s="366" t="s">
        <v>1473</v>
      </c>
      <c r="S98" s="290">
        <f>1910640/4</f>
        <v>477660</v>
      </c>
      <c r="T98" s="237"/>
      <c r="U98" s="237"/>
      <c r="V98" s="237"/>
      <c r="W98" s="237"/>
      <c r="X98" s="237"/>
      <c r="Y98" s="237"/>
      <c r="Z98" s="237"/>
      <c r="AA98" s="237"/>
      <c r="AB98" s="237"/>
      <c r="AC98" s="237"/>
      <c r="AD98" s="237"/>
      <c r="AE98" s="237"/>
      <c r="AF98" s="237"/>
      <c r="AG98" s="237"/>
      <c r="AH98" s="237"/>
      <c r="AI98" s="237"/>
      <c r="AJ98" s="237"/>
      <c r="AK98" s="237"/>
      <c r="AL98" s="237"/>
      <c r="AM98" s="237"/>
      <c r="AN98" s="237"/>
      <c r="AO98" s="237"/>
      <c r="AP98" s="237"/>
      <c r="AQ98" s="237"/>
      <c r="AR98" s="237"/>
      <c r="AS98" s="237"/>
      <c r="AT98" s="237"/>
      <c r="AU98" s="237"/>
      <c r="AV98" s="237"/>
      <c r="AW98" s="237"/>
      <c r="AX98" s="237"/>
      <c r="AY98" s="237"/>
    </row>
    <row r="99" spans="1:51" s="238" customFormat="1" ht="13.5" thickBot="1" x14ac:dyDescent="0.25">
      <c r="A99" s="278" t="s">
        <v>463</v>
      </c>
      <c r="B99" s="278" t="s">
        <v>445</v>
      </c>
      <c r="C99" s="287" t="s">
        <v>655</v>
      </c>
      <c r="D99" s="317" t="s">
        <v>61</v>
      </c>
      <c r="E99" s="278" t="s">
        <v>468</v>
      </c>
      <c r="F99" s="279"/>
      <c r="G99" s="279"/>
      <c r="H99" s="278" t="s">
        <v>472</v>
      </c>
      <c r="I99" s="268"/>
      <c r="J99" s="268">
        <v>0</v>
      </c>
      <c r="K99" s="269"/>
      <c r="L99" s="270">
        <v>477660</v>
      </c>
      <c r="M99" s="271">
        <v>150000</v>
      </c>
      <c r="N99" s="271">
        <v>50000</v>
      </c>
      <c r="O99" s="271">
        <f t="shared" si="10"/>
        <v>85978.8</v>
      </c>
      <c r="P99" s="271">
        <v>9800</v>
      </c>
      <c r="Q99" s="237">
        <v>6500</v>
      </c>
      <c r="R99" s="366" t="s">
        <v>1474</v>
      </c>
      <c r="S99" s="290">
        <f>1910640/4</f>
        <v>477660</v>
      </c>
      <c r="T99" s="237"/>
      <c r="U99" s="237"/>
      <c r="V99" s="237"/>
      <c r="W99" s="237"/>
      <c r="X99" s="237"/>
      <c r="Y99" s="237"/>
      <c r="Z99" s="237"/>
      <c r="AA99" s="237"/>
      <c r="AB99" s="237"/>
      <c r="AC99" s="237"/>
      <c r="AD99" s="237"/>
      <c r="AE99" s="237"/>
      <c r="AF99" s="237"/>
      <c r="AG99" s="237"/>
      <c r="AH99" s="237"/>
      <c r="AI99" s="237"/>
      <c r="AJ99" s="237"/>
      <c r="AK99" s="237"/>
      <c r="AL99" s="237"/>
      <c r="AM99" s="237"/>
      <c r="AN99" s="237"/>
      <c r="AO99" s="237"/>
      <c r="AP99" s="237"/>
      <c r="AQ99" s="237"/>
      <c r="AR99" s="237"/>
      <c r="AS99" s="237"/>
      <c r="AT99" s="237"/>
      <c r="AU99" s="237"/>
      <c r="AV99" s="237"/>
      <c r="AW99" s="237"/>
      <c r="AX99" s="237"/>
      <c r="AY99" s="237"/>
    </row>
    <row r="100" spans="1:51" s="238" customFormat="1" ht="13.5" thickBot="1" x14ac:dyDescent="0.25">
      <c r="A100" s="278" t="s">
        <v>464</v>
      </c>
      <c r="B100" s="278" t="s">
        <v>445</v>
      </c>
      <c r="C100" s="286" t="s">
        <v>670</v>
      </c>
      <c r="D100" s="318" t="s">
        <v>631</v>
      </c>
      <c r="E100" s="278" t="s">
        <v>469</v>
      </c>
      <c r="F100" s="279"/>
      <c r="G100" s="279"/>
      <c r="H100" s="278" t="s">
        <v>315</v>
      </c>
      <c r="I100" s="268"/>
      <c r="J100" s="268">
        <v>0</v>
      </c>
      <c r="K100" s="269"/>
      <c r="L100" s="270">
        <v>1173869</v>
      </c>
      <c r="M100" s="271">
        <v>350000</v>
      </c>
      <c r="N100" s="271">
        <v>190000</v>
      </c>
      <c r="O100" s="271">
        <f t="shared" si="10"/>
        <v>211296.42</v>
      </c>
      <c r="P100" s="271">
        <v>9800</v>
      </c>
      <c r="Q100" s="237">
        <v>6500</v>
      </c>
      <c r="R100" s="366" t="s">
        <v>628</v>
      </c>
      <c r="S100" s="290">
        <v>1022708.3</v>
      </c>
      <c r="T100" s="237"/>
      <c r="U100" s="237"/>
      <c r="V100" s="237"/>
      <c r="W100" s="237"/>
      <c r="X100" s="237"/>
      <c r="Y100" s="237"/>
      <c r="Z100" s="237"/>
      <c r="AA100" s="237"/>
      <c r="AB100" s="237"/>
      <c r="AC100" s="237"/>
      <c r="AD100" s="237"/>
      <c r="AE100" s="237"/>
      <c r="AF100" s="237"/>
      <c r="AG100" s="237"/>
      <c r="AH100" s="237"/>
      <c r="AI100" s="237"/>
      <c r="AJ100" s="237"/>
      <c r="AK100" s="237"/>
      <c r="AL100" s="237"/>
      <c r="AM100" s="237"/>
      <c r="AN100" s="237"/>
      <c r="AO100" s="237"/>
      <c r="AP100" s="237"/>
      <c r="AQ100" s="237"/>
      <c r="AR100" s="237"/>
      <c r="AS100" s="237"/>
      <c r="AT100" s="237"/>
      <c r="AU100" s="237"/>
      <c r="AV100" s="237"/>
      <c r="AW100" s="237"/>
      <c r="AX100" s="237"/>
      <c r="AY100" s="237"/>
    </row>
    <row r="101" spans="1:51" s="238" customFormat="1" x14ac:dyDescent="0.2">
      <c r="C101" s="306"/>
      <c r="D101" s="319"/>
      <c r="F101" s="267"/>
      <c r="G101" s="267"/>
      <c r="I101" s="268"/>
      <c r="J101" s="268"/>
      <c r="K101" s="269"/>
      <c r="L101" s="270"/>
      <c r="M101" s="237"/>
      <c r="N101" s="237"/>
      <c r="O101" s="237"/>
      <c r="P101" s="237"/>
      <c r="Q101" s="237"/>
      <c r="R101" s="367"/>
      <c r="S101" s="295">
        <f>SUBTOTAL(9,S2:S100)</f>
        <v>30070453.179999992</v>
      </c>
      <c r="T101" s="237"/>
      <c r="U101" s="237"/>
      <c r="V101" s="237"/>
      <c r="W101" s="237"/>
      <c r="X101" s="237"/>
      <c r="Y101" s="237"/>
      <c r="Z101" s="237"/>
      <c r="AA101" s="237"/>
      <c r="AB101" s="237"/>
      <c r="AC101" s="237"/>
      <c r="AD101" s="237"/>
      <c r="AE101" s="237"/>
      <c r="AF101" s="237"/>
      <c r="AG101" s="237"/>
      <c r="AH101" s="237"/>
      <c r="AI101" s="237"/>
      <c r="AJ101" s="237"/>
      <c r="AK101" s="237"/>
      <c r="AL101" s="237"/>
      <c r="AM101" s="237"/>
      <c r="AN101" s="237"/>
      <c r="AO101" s="237"/>
      <c r="AP101" s="237"/>
      <c r="AQ101" s="237"/>
      <c r="AR101" s="237"/>
      <c r="AS101" s="237"/>
      <c r="AT101" s="237"/>
      <c r="AU101" s="237"/>
      <c r="AV101" s="237"/>
      <c r="AW101" s="237"/>
      <c r="AX101" s="237"/>
      <c r="AY101" s="237"/>
    </row>
    <row r="102" spans="1:51" s="238" customFormat="1" x14ac:dyDescent="0.2">
      <c r="C102" s="306"/>
      <c r="D102" s="319"/>
      <c r="F102" s="267"/>
      <c r="G102" s="267"/>
      <c r="I102" s="268"/>
      <c r="J102" s="268"/>
      <c r="K102" s="269"/>
      <c r="L102" s="270"/>
      <c r="M102" s="237"/>
      <c r="N102" s="237"/>
      <c r="O102" s="237"/>
      <c r="P102" s="237"/>
      <c r="Q102" s="237"/>
      <c r="R102" s="367"/>
      <c r="S102" s="295"/>
      <c r="T102" s="237"/>
      <c r="U102" s="237"/>
      <c r="V102" s="237"/>
      <c r="W102" s="237"/>
      <c r="X102" s="237"/>
      <c r="Y102" s="237"/>
      <c r="Z102" s="237"/>
      <c r="AA102" s="237"/>
      <c r="AB102" s="237"/>
      <c r="AC102" s="237"/>
      <c r="AD102" s="237"/>
      <c r="AE102" s="237"/>
      <c r="AF102" s="237"/>
      <c r="AG102" s="237"/>
      <c r="AH102" s="237"/>
      <c r="AI102" s="237"/>
      <c r="AJ102" s="237"/>
      <c r="AK102" s="237"/>
      <c r="AL102" s="237"/>
      <c r="AM102" s="237"/>
      <c r="AN102" s="237"/>
      <c r="AO102" s="237"/>
      <c r="AP102" s="237"/>
      <c r="AQ102" s="237"/>
      <c r="AR102" s="237"/>
      <c r="AS102" s="237"/>
      <c r="AT102" s="237"/>
      <c r="AU102" s="237"/>
      <c r="AV102" s="237"/>
      <c r="AW102" s="237"/>
      <c r="AX102" s="237"/>
      <c r="AY102" s="237"/>
    </row>
    <row r="103" spans="1:51" x14ac:dyDescent="0.2">
      <c r="F103" s="272"/>
      <c r="G103" s="272"/>
    </row>
    <row r="104" spans="1:51" x14ac:dyDescent="0.2">
      <c r="F104" s="272"/>
      <c r="G104" s="272"/>
    </row>
    <row r="105" spans="1:51" x14ac:dyDescent="0.2">
      <c r="F105" s="272"/>
      <c r="G105" s="272"/>
    </row>
    <row r="106" spans="1:51" x14ac:dyDescent="0.2">
      <c r="F106" s="272"/>
      <c r="G106" s="272"/>
    </row>
    <row r="107" spans="1:51" x14ac:dyDescent="0.2">
      <c r="F107" s="272"/>
      <c r="G107" s="272"/>
    </row>
    <row r="108" spans="1:51" x14ac:dyDescent="0.2">
      <c r="F108" s="272"/>
      <c r="G108" s="272"/>
    </row>
    <row r="109" spans="1:51" x14ac:dyDescent="0.2">
      <c r="F109" s="272"/>
      <c r="G109" s="272"/>
    </row>
    <row r="110" spans="1:51" x14ac:dyDescent="0.2">
      <c r="F110" s="272"/>
      <c r="G110" s="272"/>
    </row>
    <row r="111" spans="1:51" x14ac:dyDescent="0.2">
      <c r="F111" s="272"/>
      <c r="G111" s="272"/>
    </row>
    <row r="112" spans="1:51" x14ac:dyDescent="0.2">
      <c r="F112" s="272"/>
      <c r="G112" s="272"/>
    </row>
    <row r="113" spans="6:7" x14ac:dyDescent="0.2">
      <c r="F113" s="272"/>
      <c r="G113" s="272"/>
    </row>
    <row r="114" spans="6:7" x14ac:dyDescent="0.2">
      <c r="F114" s="272"/>
      <c r="G114" s="272"/>
    </row>
    <row r="115" spans="6:7" x14ac:dyDescent="0.2">
      <c r="F115" s="272"/>
      <c r="G115" s="272"/>
    </row>
  </sheetData>
  <autoFilter ref="A1:AY100" xr:uid="{00000000-0009-0000-0000-00000A000000}"/>
  <sortState xmlns:xlrd2="http://schemas.microsoft.com/office/spreadsheetml/2017/richdata2" ref="A3:AY28">
    <sortCondition ref="A3"/>
  </sortState>
  <customSheetViews>
    <customSheetView guid="{85BAD813-6002-444C-94EE-85A3EFC799A5}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1"/>
      <autoFilter ref="A1:AY100" xr:uid="{00000000-0009-0000-0000-00000A000000}"/>
    </customSheetView>
    <customSheetView guid="{DF69299D-7752-4436-A45D-28F739CEE21B}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2"/>
      <autoFilter ref="A1:AY100" xr:uid="{00000000-0000-0000-0000-000000000000}"/>
    </customSheetView>
    <customSheetView guid="{6C0BD6A7-6718-429D-82D9-D2FE0341EA2C}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3"/>
      <autoFilter ref="A1:AY100" xr:uid="{00000000-0000-0000-0000-000000000000}"/>
    </customSheetView>
    <customSheetView guid="{594C4AB0-8D5F-4373-9663-410F4413FE3A}" showPageBreaks="1" showAutoFilter="1" hiddenColumns="1">
      <pane ySplit="2" topLeftCell="A72" activePane="bottomLeft" state="frozen"/>
      <selection pane="bottomLeft" activeCell="D13" sqref="D13"/>
      <pageMargins left="0" right="0" top="0" bottom="0" header="0.31496062992125984" footer="0.31496062992125984"/>
      <pageSetup paperSize="9" scale="90" orientation="portrait" r:id="rId4"/>
      <autoFilter ref="A1:AY100" xr:uid="{00000000-0000-0000-0000-000000000000}"/>
    </customSheetView>
  </customSheetViews>
  <pageMargins left="0" right="0" top="0" bottom="0" header="0.31496062992125984" footer="0.31496062992125984"/>
  <pageSetup paperSize="9" scale="90" orientation="portrait"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J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.140625" defaultRowHeight="11.25" x14ac:dyDescent="0.2"/>
  <cols>
    <col min="1" max="1" width="9.7109375" style="127" bestFit="1" customWidth="1"/>
    <col min="2" max="2" width="20.140625" style="128" customWidth="1"/>
    <col min="3" max="3" width="13.28515625" style="128" customWidth="1"/>
    <col min="4" max="4" width="12" style="126" customWidth="1"/>
    <col min="5" max="5" width="11.5703125" style="126" customWidth="1"/>
    <col min="6" max="6" width="10.7109375" style="126" customWidth="1"/>
    <col min="7" max="7" width="10.42578125" style="113" customWidth="1"/>
    <col min="8" max="8" width="10" style="113" customWidth="1"/>
    <col min="9" max="9" width="8.5703125" style="132" bestFit="1" customWidth="1"/>
    <col min="10" max="10" width="13.7109375" style="113" bestFit="1" customWidth="1"/>
    <col min="11" max="16384" width="9.140625" style="114"/>
  </cols>
  <sheetData>
    <row r="1" spans="1:10" x14ac:dyDescent="0.2">
      <c r="A1" s="106" t="s">
        <v>198</v>
      </c>
      <c r="B1" s="107" t="s">
        <v>199</v>
      </c>
      <c r="C1" s="107" t="s">
        <v>232</v>
      </c>
      <c r="D1" s="108" t="s">
        <v>230</v>
      </c>
      <c r="E1" s="109" t="s">
        <v>233</v>
      </c>
      <c r="F1" s="110" t="s">
        <v>231</v>
      </c>
      <c r="G1" s="111" t="s">
        <v>234</v>
      </c>
      <c r="H1" s="112" t="s">
        <v>200</v>
      </c>
      <c r="I1" s="132" t="s">
        <v>244</v>
      </c>
      <c r="J1" s="113" t="s">
        <v>245</v>
      </c>
    </row>
    <row r="2" spans="1:10" x14ac:dyDescent="0.2">
      <c r="A2" s="115" t="s">
        <v>201</v>
      </c>
      <c r="B2" s="116">
        <v>192900</v>
      </c>
      <c r="C2" s="117">
        <v>31301.52</v>
      </c>
      <c r="D2" s="118">
        <f>+C2/12*7</f>
        <v>18259.22</v>
      </c>
      <c r="E2" s="116">
        <v>17881.14</v>
      </c>
      <c r="F2" s="110">
        <f>+E2/12*7</f>
        <v>10430.665000000001</v>
      </c>
      <c r="G2" s="119">
        <f>+C2+E2</f>
        <v>49182.66</v>
      </c>
      <c r="H2" s="119">
        <f>+D2+F2</f>
        <v>28689.885000000002</v>
      </c>
      <c r="I2" s="132" t="s">
        <v>253</v>
      </c>
      <c r="J2" s="113" t="s">
        <v>246</v>
      </c>
    </row>
    <row r="3" spans="1:10" x14ac:dyDescent="0.2">
      <c r="A3" s="115" t="s">
        <v>202</v>
      </c>
      <c r="B3" s="116">
        <v>192900</v>
      </c>
      <c r="C3" s="117">
        <v>31301.52</v>
      </c>
      <c r="D3" s="118">
        <f t="shared" ref="D3:D32" si="0">+C3/12*7</f>
        <v>18259.22</v>
      </c>
      <c r="E3" s="116">
        <v>17881.14</v>
      </c>
      <c r="F3" s="110">
        <f t="shared" ref="F3:F32" si="1">+E3/12*7</f>
        <v>10430.665000000001</v>
      </c>
      <c r="G3" s="119">
        <f t="shared" ref="G3:H18" si="2">+C3+E3</f>
        <v>49182.66</v>
      </c>
      <c r="H3" s="119">
        <f t="shared" si="2"/>
        <v>28689.885000000002</v>
      </c>
      <c r="I3" s="132" t="s">
        <v>253</v>
      </c>
      <c r="J3" s="113" t="s">
        <v>246</v>
      </c>
    </row>
    <row r="4" spans="1:10" x14ac:dyDescent="0.2">
      <c r="A4" s="115" t="s">
        <v>203</v>
      </c>
      <c r="B4" s="116">
        <v>192900</v>
      </c>
      <c r="C4" s="117">
        <v>31301.52</v>
      </c>
      <c r="D4" s="118">
        <f t="shared" si="0"/>
        <v>18259.22</v>
      </c>
      <c r="E4" s="116">
        <v>17881.14</v>
      </c>
      <c r="F4" s="110">
        <f t="shared" si="1"/>
        <v>10430.665000000001</v>
      </c>
      <c r="G4" s="119">
        <f t="shared" si="2"/>
        <v>49182.66</v>
      </c>
      <c r="H4" s="119">
        <f t="shared" si="2"/>
        <v>28689.885000000002</v>
      </c>
      <c r="I4" s="132" t="s">
        <v>253</v>
      </c>
      <c r="J4" s="113" t="s">
        <v>246</v>
      </c>
    </row>
    <row r="5" spans="1:10" x14ac:dyDescent="0.2">
      <c r="A5" s="115" t="s">
        <v>204</v>
      </c>
      <c r="B5" s="116">
        <v>192900</v>
      </c>
      <c r="C5" s="117">
        <v>31301.52</v>
      </c>
      <c r="D5" s="118">
        <f t="shared" si="0"/>
        <v>18259.22</v>
      </c>
      <c r="E5" s="116">
        <v>17881.14</v>
      </c>
      <c r="F5" s="110">
        <f t="shared" si="1"/>
        <v>10430.665000000001</v>
      </c>
      <c r="G5" s="119">
        <f t="shared" si="2"/>
        <v>49182.66</v>
      </c>
      <c r="H5" s="119">
        <f t="shared" si="2"/>
        <v>28689.885000000002</v>
      </c>
      <c r="I5" s="132" t="s">
        <v>253</v>
      </c>
      <c r="J5" s="113" t="s">
        <v>246</v>
      </c>
    </row>
    <row r="6" spans="1:10" x14ac:dyDescent="0.2">
      <c r="A6" s="115" t="s">
        <v>205</v>
      </c>
      <c r="B6" s="116">
        <v>192900</v>
      </c>
      <c r="C6" s="117">
        <v>31301.52</v>
      </c>
      <c r="D6" s="118">
        <f t="shared" si="0"/>
        <v>18259.22</v>
      </c>
      <c r="E6" s="116">
        <v>17881.14</v>
      </c>
      <c r="F6" s="110">
        <f t="shared" si="1"/>
        <v>10430.665000000001</v>
      </c>
      <c r="G6" s="119">
        <f t="shared" si="2"/>
        <v>49182.66</v>
      </c>
      <c r="H6" s="119">
        <f t="shared" si="2"/>
        <v>28689.885000000002</v>
      </c>
      <c r="I6" s="132" t="s">
        <v>254</v>
      </c>
      <c r="J6" s="113" t="s">
        <v>247</v>
      </c>
    </row>
    <row r="7" spans="1:10" x14ac:dyDescent="0.2">
      <c r="A7" s="115" t="s">
        <v>206</v>
      </c>
      <c r="B7" s="116">
        <v>192900</v>
      </c>
      <c r="C7" s="117">
        <v>31301.52</v>
      </c>
      <c r="D7" s="118">
        <f t="shared" si="0"/>
        <v>18259.22</v>
      </c>
      <c r="E7" s="116">
        <v>17881.14</v>
      </c>
      <c r="F7" s="110">
        <f t="shared" si="1"/>
        <v>10430.665000000001</v>
      </c>
      <c r="G7" s="119">
        <f t="shared" si="2"/>
        <v>49182.66</v>
      </c>
      <c r="H7" s="119">
        <f t="shared" si="2"/>
        <v>28689.885000000002</v>
      </c>
      <c r="I7" s="132" t="s">
        <v>22</v>
      </c>
      <c r="J7" s="113" t="s">
        <v>246</v>
      </c>
    </row>
    <row r="8" spans="1:10" x14ac:dyDescent="0.2">
      <c r="A8" s="115" t="s">
        <v>207</v>
      </c>
      <c r="B8" s="116">
        <v>192900</v>
      </c>
      <c r="C8" s="117">
        <v>31301.52</v>
      </c>
      <c r="D8" s="118">
        <f t="shared" si="0"/>
        <v>18259.22</v>
      </c>
      <c r="E8" s="116">
        <v>17881.14</v>
      </c>
      <c r="F8" s="110">
        <f t="shared" si="1"/>
        <v>10430.665000000001</v>
      </c>
      <c r="G8" s="119">
        <f t="shared" si="2"/>
        <v>49182.66</v>
      </c>
      <c r="H8" s="119">
        <f t="shared" si="2"/>
        <v>28689.885000000002</v>
      </c>
      <c r="I8" s="132" t="s">
        <v>22</v>
      </c>
      <c r="J8" s="113" t="s">
        <v>246</v>
      </c>
    </row>
    <row r="9" spans="1:10" x14ac:dyDescent="0.2">
      <c r="A9" s="115" t="s">
        <v>208</v>
      </c>
      <c r="B9" s="116">
        <v>192900</v>
      </c>
      <c r="C9" s="117">
        <v>31301.52</v>
      </c>
      <c r="D9" s="118">
        <f t="shared" si="0"/>
        <v>18259.22</v>
      </c>
      <c r="E9" s="116">
        <v>17881.14</v>
      </c>
      <c r="F9" s="110">
        <f t="shared" si="1"/>
        <v>10430.665000000001</v>
      </c>
      <c r="G9" s="119">
        <f t="shared" si="2"/>
        <v>49182.66</v>
      </c>
      <c r="H9" s="119">
        <f t="shared" si="2"/>
        <v>28689.885000000002</v>
      </c>
      <c r="I9" s="132" t="s">
        <v>22</v>
      </c>
      <c r="J9" s="113" t="s">
        <v>246</v>
      </c>
    </row>
    <row r="10" spans="1:10" x14ac:dyDescent="0.2">
      <c r="A10" s="115" t="s">
        <v>209</v>
      </c>
      <c r="B10" s="116">
        <v>192900</v>
      </c>
      <c r="C10" s="117">
        <v>31301.52</v>
      </c>
      <c r="D10" s="118">
        <f t="shared" si="0"/>
        <v>18259.22</v>
      </c>
      <c r="E10" s="116">
        <v>17881.14</v>
      </c>
      <c r="F10" s="110">
        <f t="shared" si="1"/>
        <v>10430.665000000001</v>
      </c>
      <c r="G10" s="119">
        <f t="shared" si="2"/>
        <v>49182.66</v>
      </c>
      <c r="H10" s="119">
        <f t="shared" si="2"/>
        <v>28689.885000000002</v>
      </c>
      <c r="I10" s="132" t="s">
        <v>22</v>
      </c>
      <c r="J10" s="113" t="s">
        <v>246</v>
      </c>
    </row>
    <row r="11" spans="1:10" x14ac:dyDescent="0.2">
      <c r="A11" s="115" t="s">
        <v>210</v>
      </c>
      <c r="B11" s="116">
        <v>192900</v>
      </c>
      <c r="C11" s="117">
        <v>31301.52</v>
      </c>
      <c r="D11" s="118">
        <f t="shared" si="0"/>
        <v>18259.22</v>
      </c>
      <c r="E11" s="116">
        <v>17881.14</v>
      </c>
      <c r="F11" s="110">
        <f t="shared" si="1"/>
        <v>10430.665000000001</v>
      </c>
      <c r="G11" s="119">
        <f t="shared" si="2"/>
        <v>49182.66</v>
      </c>
      <c r="H11" s="119">
        <f t="shared" si="2"/>
        <v>28689.885000000002</v>
      </c>
      <c r="I11" s="132" t="s">
        <v>22</v>
      </c>
      <c r="J11" s="113" t="s">
        <v>246</v>
      </c>
    </row>
    <row r="12" spans="1:10" x14ac:dyDescent="0.2">
      <c r="A12" s="115" t="s">
        <v>211</v>
      </c>
      <c r="B12" s="116">
        <v>192900</v>
      </c>
      <c r="C12" s="117">
        <v>31301.52</v>
      </c>
      <c r="D12" s="118">
        <f t="shared" si="0"/>
        <v>18259.22</v>
      </c>
      <c r="E12" s="116">
        <v>17881.14</v>
      </c>
      <c r="F12" s="110">
        <f t="shared" si="1"/>
        <v>10430.665000000001</v>
      </c>
      <c r="G12" s="119">
        <f t="shared" si="2"/>
        <v>49182.66</v>
      </c>
      <c r="H12" s="119">
        <f t="shared" si="2"/>
        <v>28689.885000000002</v>
      </c>
      <c r="I12" s="132" t="s">
        <v>19</v>
      </c>
      <c r="J12" s="113" t="s">
        <v>246</v>
      </c>
    </row>
    <row r="13" spans="1:10" x14ac:dyDescent="0.2">
      <c r="A13" s="115" t="s">
        <v>212</v>
      </c>
      <c r="B13" s="116">
        <v>192900</v>
      </c>
      <c r="C13" s="117">
        <v>31301.52</v>
      </c>
      <c r="D13" s="118">
        <f t="shared" si="0"/>
        <v>18259.22</v>
      </c>
      <c r="E13" s="116">
        <v>17881.14</v>
      </c>
      <c r="F13" s="110">
        <f t="shared" si="1"/>
        <v>10430.665000000001</v>
      </c>
      <c r="G13" s="119">
        <f t="shared" si="2"/>
        <v>49182.66</v>
      </c>
      <c r="H13" s="119">
        <f t="shared" si="2"/>
        <v>28689.885000000002</v>
      </c>
      <c r="I13" s="132" t="s">
        <v>253</v>
      </c>
      <c r="J13" s="113" t="s">
        <v>246</v>
      </c>
    </row>
    <row r="14" spans="1:10" x14ac:dyDescent="0.2">
      <c r="A14" s="115" t="s">
        <v>213</v>
      </c>
      <c r="B14" s="116">
        <v>192900</v>
      </c>
      <c r="C14" s="117">
        <v>31301.52</v>
      </c>
      <c r="D14" s="118">
        <f t="shared" si="0"/>
        <v>18259.22</v>
      </c>
      <c r="E14" s="116">
        <v>17881.14</v>
      </c>
      <c r="F14" s="110">
        <f t="shared" si="1"/>
        <v>10430.665000000001</v>
      </c>
      <c r="G14" s="119">
        <f t="shared" si="2"/>
        <v>49182.66</v>
      </c>
      <c r="H14" s="119">
        <f t="shared" si="2"/>
        <v>28689.885000000002</v>
      </c>
      <c r="I14" s="132" t="s">
        <v>254</v>
      </c>
      <c r="J14" s="113" t="s">
        <v>247</v>
      </c>
    </row>
    <row r="15" spans="1:10" x14ac:dyDescent="0.2">
      <c r="A15" s="115" t="s">
        <v>214</v>
      </c>
      <c r="B15" s="116">
        <v>192900</v>
      </c>
      <c r="C15" s="117">
        <v>31301.52</v>
      </c>
      <c r="D15" s="118">
        <f t="shared" si="0"/>
        <v>18259.22</v>
      </c>
      <c r="E15" s="116">
        <v>17881.14</v>
      </c>
      <c r="F15" s="110">
        <f t="shared" si="1"/>
        <v>10430.665000000001</v>
      </c>
      <c r="G15" s="119">
        <f t="shared" si="2"/>
        <v>49182.66</v>
      </c>
      <c r="H15" s="119">
        <f t="shared" si="2"/>
        <v>28689.885000000002</v>
      </c>
      <c r="I15" s="132" t="s">
        <v>48</v>
      </c>
      <c r="J15" s="113" t="s">
        <v>246</v>
      </c>
    </row>
    <row r="16" spans="1:10" x14ac:dyDescent="0.2">
      <c r="A16" s="115" t="s">
        <v>215</v>
      </c>
      <c r="B16" s="116">
        <v>180400</v>
      </c>
      <c r="C16" s="116">
        <v>29273.17</v>
      </c>
      <c r="D16" s="118">
        <f t="shared" si="0"/>
        <v>17076.015833333335</v>
      </c>
      <c r="E16" s="116">
        <v>16722.43</v>
      </c>
      <c r="F16" s="110">
        <f t="shared" si="1"/>
        <v>9754.7508333333335</v>
      </c>
      <c r="G16" s="119">
        <f t="shared" si="2"/>
        <v>45995.6</v>
      </c>
      <c r="H16" s="119">
        <f t="shared" si="2"/>
        <v>26830.76666666667</v>
      </c>
      <c r="I16" s="132" t="s">
        <v>19</v>
      </c>
      <c r="J16" s="113" t="s">
        <v>139</v>
      </c>
    </row>
    <row r="17" spans="1:10" x14ac:dyDescent="0.2">
      <c r="A17" s="115" t="s">
        <v>216</v>
      </c>
      <c r="B17" s="116">
        <v>282200</v>
      </c>
      <c r="C17" s="116">
        <v>45792.06</v>
      </c>
      <c r="D17" s="118">
        <f t="shared" si="0"/>
        <v>26712.034999999996</v>
      </c>
      <c r="E17" s="116">
        <v>26158.93</v>
      </c>
      <c r="F17" s="110">
        <f t="shared" si="1"/>
        <v>15259.375833333334</v>
      </c>
      <c r="G17" s="119">
        <f t="shared" si="2"/>
        <v>71950.989999999991</v>
      </c>
      <c r="H17" s="119">
        <f t="shared" si="2"/>
        <v>41971.410833333328</v>
      </c>
      <c r="I17" s="132" t="s">
        <v>255</v>
      </c>
      <c r="J17" s="113" t="s">
        <v>248</v>
      </c>
    </row>
    <row r="18" spans="1:10" x14ac:dyDescent="0.2">
      <c r="A18" s="115" t="s">
        <v>217</v>
      </c>
      <c r="B18" s="116">
        <v>282200</v>
      </c>
      <c r="C18" s="116">
        <v>45792.06</v>
      </c>
      <c r="D18" s="118">
        <f t="shared" si="0"/>
        <v>26712.034999999996</v>
      </c>
      <c r="E18" s="116">
        <v>26158.93</v>
      </c>
      <c r="F18" s="110">
        <f t="shared" si="1"/>
        <v>15259.375833333334</v>
      </c>
      <c r="G18" s="119">
        <f t="shared" si="2"/>
        <v>71950.989999999991</v>
      </c>
      <c r="H18" s="119">
        <f t="shared" si="2"/>
        <v>41971.410833333328</v>
      </c>
      <c r="I18" s="132" t="s">
        <v>255</v>
      </c>
      <c r="J18" s="113" t="s">
        <v>248</v>
      </c>
    </row>
    <row r="19" spans="1:10" x14ac:dyDescent="0.2">
      <c r="A19" s="115" t="s">
        <v>218</v>
      </c>
      <c r="B19" s="116">
        <v>282200</v>
      </c>
      <c r="C19" s="116">
        <v>45792.06</v>
      </c>
      <c r="D19" s="118">
        <f t="shared" si="0"/>
        <v>26712.034999999996</v>
      </c>
      <c r="E19" s="116">
        <v>26158.93</v>
      </c>
      <c r="F19" s="110">
        <f t="shared" si="1"/>
        <v>15259.375833333334</v>
      </c>
      <c r="G19" s="119">
        <f t="shared" ref="G19:H30" si="3">+C19+E19</f>
        <v>71950.989999999991</v>
      </c>
      <c r="H19" s="119">
        <f t="shared" si="3"/>
        <v>41971.410833333328</v>
      </c>
      <c r="I19" s="132" t="s">
        <v>255</v>
      </c>
      <c r="J19" s="113" t="s">
        <v>248</v>
      </c>
    </row>
    <row r="20" spans="1:10" x14ac:dyDescent="0.2">
      <c r="A20" s="115" t="s">
        <v>219</v>
      </c>
      <c r="B20" s="116">
        <v>282200</v>
      </c>
      <c r="C20" s="116">
        <v>45792.06</v>
      </c>
      <c r="D20" s="118">
        <f t="shared" si="0"/>
        <v>26712.034999999996</v>
      </c>
      <c r="E20" s="116">
        <v>26158.93</v>
      </c>
      <c r="F20" s="110">
        <f t="shared" si="1"/>
        <v>15259.375833333334</v>
      </c>
      <c r="G20" s="119">
        <f t="shared" si="3"/>
        <v>71950.989999999991</v>
      </c>
      <c r="H20" s="119">
        <f t="shared" si="3"/>
        <v>41971.410833333328</v>
      </c>
      <c r="I20" s="132" t="s">
        <v>255</v>
      </c>
      <c r="J20" s="113" t="s">
        <v>248</v>
      </c>
    </row>
    <row r="21" spans="1:10" x14ac:dyDescent="0.2">
      <c r="A21" s="115" t="s">
        <v>220</v>
      </c>
      <c r="B21" s="116">
        <v>282200</v>
      </c>
      <c r="C21" s="116">
        <v>45792.06</v>
      </c>
      <c r="D21" s="118">
        <f t="shared" si="0"/>
        <v>26712.034999999996</v>
      </c>
      <c r="E21" s="116">
        <v>26158.93</v>
      </c>
      <c r="F21" s="110">
        <f t="shared" si="1"/>
        <v>15259.375833333334</v>
      </c>
      <c r="G21" s="119">
        <f t="shared" si="3"/>
        <v>71950.989999999991</v>
      </c>
      <c r="H21" s="119">
        <f t="shared" si="3"/>
        <v>41971.410833333328</v>
      </c>
      <c r="I21" s="132" t="s">
        <v>255</v>
      </c>
      <c r="J21" s="113" t="s">
        <v>248</v>
      </c>
    </row>
    <row r="22" spans="1:10" x14ac:dyDescent="0.2">
      <c r="A22" s="115" t="s">
        <v>221</v>
      </c>
      <c r="B22" s="116">
        <v>282200</v>
      </c>
      <c r="C22" s="116">
        <v>45792.06</v>
      </c>
      <c r="D22" s="118">
        <f t="shared" si="0"/>
        <v>26712.034999999996</v>
      </c>
      <c r="E22" s="116">
        <v>26158.93</v>
      </c>
      <c r="F22" s="110">
        <f t="shared" si="1"/>
        <v>15259.375833333334</v>
      </c>
      <c r="G22" s="119">
        <f t="shared" si="3"/>
        <v>71950.989999999991</v>
      </c>
      <c r="H22" s="119">
        <f t="shared" si="3"/>
        <v>41971.410833333328</v>
      </c>
      <c r="I22" s="132" t="s">
        <v>255</v>
      </c>
      <c r="J22" s="113" t="s">
        <v>248</v>
      </c>
    </row>
    <row r="23" spans="1:10" x14ac:dyDescent="0.2">
      <c r="A23" s="115" t="s">
        <v>222</v>
      </c>
      <c r="B23" s="116">
        <v>282200</v>
      </c>
      <c r="C23" s="116">
        <v>45792.06</v>
      </c>
      <c r="D23" s="118">
        <f t="shared" si="0"/>
        <v>26712.034999999996</v>
      </c>
      <c r="E23" s="116">
        <v>26158.93</v>
      </c>
      <c r="F23" s="110">
        <f t="shared" si="1"/>
        <v>15259.375833333334</v>
      </c>
      <c r="G23" s="119">
        <f t="shared" si="3"/>
        <v>71950.989999999991</v>
      </c>
      <c r="H23" s="119">
        <f t="shared" si="3"/>
        <v>41971.410833333328</v>
      </c>
      <c r="I23" s="132" t="s">
        <v>255</v>
      </c>
      <c r="J23" s="113" t="s">
        <v>248</v>
      </c>
    </row>
    <row r="24" spans="1:10" x14ac:dyDescent="0.2">
      <c r="A24" s="115" t="s">
        <v>223</v>
      </c>
      <c r="B24" s="116">
        <v>282200</v>
      </c>
      <c r="C24" s="116">
        <v>45792.06</v>
      </c>
      <c r="D24" s="118">
        <f t="shared" si="0"/>
        <v>26712.034999999996</v>
      </c>
      <c r="E24" s="116">
        <v>26158.93</v>
      </c>
      <c r="F24" s="110">
        <f t="shared" si="1"/>
        <v>15259.375833333334</v>
      </c>
      <c r="G24" s="119">
        <f t="shared" si="3"/>
        <v>71950.989999999991</v>
      </c>
      <c r="H24" s="119">
        <f t="shared" si="3"/>
        <v>41971.410833333328</v>
      </c>
      <c r="I24" s="132" t="s">
        <v>255</v>
      </c>
      <c r="J24" s="113" t="s">
        <v>248</v>
      </c>
    </row>
    <row r="25" spans="1:10" x14ac:dyDescent="0.2">
      <c r="A25" s="115" t="s">
        <v>224</v>
      </c>
      <c r="B25" s="116">
        <v>282200</v>
      </c>
      <c r="C25" s="116">
        <v>45792.06</v>
      </c>
      <c r="D25" s="118">
        <f t="shared" si="0"/>
        <v>26712.034999999996</v>
      </c>
      <c r="E25" s="116">
        <v>26158.93</v>
      </c>
      <c r="F25" s="110">
        <f t="shared" si="1"/>
        <v>15259.375833333334</v>
      </c>
      <c r="G25" s="119">
        <f t="shared" si="3"/>
        <v>71950.989999999991</v>
      </c>
      <c r="H25" s="119">
        <f t="shared" si="3"/>
        <v>41971.410833333328</v>
      </c>
      <c r="I25" s="132" t="s">
        <v>255</v>
      </c>
      <c r="J25" s="113" t="s">
        <v>248</v>
      </c>
    </row>
    <row r="26" spans="1:10" x14ac:dyDescent="0.2">
      <c r="A26" s="115" t="s">
        <v>225</v>
      </c>
      <c r="B26" s="116">
        <v>440900</v>
      </c>
      <c r="C26" s="116">
        <v>71544.009999999995</v>
      </c>
      <c r="D26" s="118">
        <f t="shared" si="0"/>
        <v>41734.005833333329</v>
      </c>
      <c r="E26" s="116">
        <v>40869.85</v>
      </c>
      <c r="F26" s="110">
        <f t="shared" si="1"/>
        <v>23840.745833333334</v>
      </c>
      <c r="G26" s="119">
        <f t="shared" si="3"/>
        <v>112413.85999999999</v>
      </c>
      <c r="H26" s="119">
        <f t="shared" si="3"/>
        <v>65574.751666666663</v>
      </c>
      <c r="I26" s="132" t="s">
        <v>254</v>
      </c>
      <c r="J26" s="113" t="s">
        <v>249</v>
      </c>
    </row>
    <row r="27" spans="1:10" x14ac:dyDescent="0.2">
      <c r="A27" s="115" t="s">
        <v>226</v>
      </c>
      <c r="B27" s="116">
        <v>440900</v>
      </c>
      <c r="C27" s="116">
        <v>71544.009999999995</v>
      </c>
      <c r="D27" s="118">
        <f t="shared" si="0"/>
        <v>41734.005833333329</v>
      </c>
      <c r="E27" s="116">
        <v>40869.85</v>
      </c>
      <c r="F27" s="110">
        <f t="shared" si="1"/>
        <v>23840.745833333334</v>
      </c>
      <c r="G27" s="119">
        <f t="shared" si="3"/>
        <v>112413.85999999999</v>
      </c>
      <c r="H27" s="119">
        <f t="shared" si="3"/>
        <v>65574.751666666663</v>
      </c>
      <c r="I27" s="132" t="s">
        <v>253</v>
      </c>
      <c r="J27" s="113" t="s">
        <v>249</v>
      </c>
    </row>
    <row r="28" spans="1:10" x14ac:dyDescent="0.2">
      <c r="A28" s="115" t="s">
        <v>227</v>
      </c>
      <c r="B28" s="116">
        <v>440900</v>
      </c>
      <c r="C28" s="116">
        <v>71544.009999999995</v>
      </c>
      <c r="D28" s="118">
        <f t="shared" si="0"/>
        <v>41734.005833333329</v>
      </c>
      <c r="E28" s="116">
        <v>40869.85</v>
      </c>
      <c r="F28" s="110">
        <f t="shared" si="1"/>
        <v>23840.745833333334</v>
      </c>
      <c r="G28" s="119">
        <f t="shared" si="3"/>
        <v>112413.85999999999</v>
      </c>
      <c r="H28" s="119">
        <f t="shared" si="3"/>
        <v>65574.751666666663</v>
      </c>
      <c r="I28" s="132" t="s">
        <v>253</v>
      </c>
      <c r="J28" s="113" t="s">
        <v>249</v>
      </c>
    </row>
    <row r="29" spans="1:10" x14ac:dyDescent="0.2">
      <c r="A29" s="115" t="s">
        <v>228</v>
      </c>
      <c r="B29" s="116">
        <v>520200</v>
      </c>
      <c r="C29" s="116">
        <v>84411.88</v>
      </c>
      <c r="D29" s="118">
        <f t="shared" si="0"/>
        <v>49240.263333333336</v>
      </c>
      <c r="E29" s="116">
        <v>48220.68</v>
      </c>
      <c r="F29" s="110">
        <f t="shared" si="1"/>
        <v>28128.73</v>
      </c>
      <c r="G29" s="119">
        <f t="shared" si="3"/>
        <v>132632.56</v>
      </c>
      <c r="H29" s="119">
        <f t="shared" si="3"/>
        <v>77368.993333333332</v>
      </c>
      <c r="I29" s="132" t="s">
        <v>22</v>
      </c>
      <c r="J29" s="113" t="s">
        <v>250</v>
      </c>
    </row>
    <row r="30" spans="1:10" x14ac:dyDescent="0.2">
      <c r="A30" s="120">
        <v>298</v>
      </c>
      <c r="B30" s="116">
        <v>1272793</v>
      </c>
      <c r="C30" s="116">
        <v>206533.73</v>
      </c>
      <c r="D30" s="118">
        <f t="shared" si="0"/>
        <v>120478.00916666668</v>
      </c>
      <c r="E30" s="116">
        <v>117983.35</v>
      </c>
      <c r="F30" s="110">
        <f t="shared" si="1"/>
        <v>68823.620833333334</v>
      </c>
      <c r="G30" s="119">
        <f t="shared" si="3"/>
        <v>324517.08</v>
      </c>
      <c r="H30" s="119">
        <f t="shared" si="3"/>
        <v>189301.63</v>
      </c>
      <c r="I30" s="132" t="s">
        <v>253</v>
      </c>
      <c r="J30" s="113" t="s">
        <v>251</v>
      </c>
    </row>
    <row r="31" spans="1:10" x14ac:dyDescent="0.2">
      <c r="A31" s="120">
        <v>292</v>
      </c>
      <c r="B31" s="116">
        <v>282200</v>
      </c>
      <c r="C31" s="116">
        <v>45792.06</v>
      </c>
      <c r="D31" s="118">
        <f t="shared" si="0"/>
        <v>26712.034999999996</v>
      </c>
      <c r="E31" s="116">
        <v>26158.93</v>
      </c>
      <c r="F31" s="110">
        <f t="shared" si="1"/>
        <v>15259.375833333334</v>
      </c>
      <c r="G31" s="119">
        <f>+C31+E31</f>
        <v>71950.989999999991</v>
      </c>
      <c r="H31" s="119">
        <f>+D31+F31</f>
        <v>41971.410833333328</v>
      </c>
      <c r="I31" s="132" t="s">
        <v>19</v>
      </c>
      <c r="J31" s="113" t="s">
        <v>252</v>
      </c>
    </row>
    <row r="32" spans="1:10" x14ac:dyDescent="0.2">
      <c r="A32" s="120">
        <v>293</v>
      </c>
      <c r="B32" s="116">
        <v>282200</v>
      </c>
      <c r="C32" s="116">
        <v>45792.06</v>
      </c>
      <c r="D32" s="118">
        <f t="shared" si="0"/>
        <v>26712.034999999996</v>
      </c>
      <c r="E32" s="116">
        <v>26158.93</v>
      </c>
      <c r="F32" s="110">
        <f t="shared" si="1"/>
        <v>15259.375833333334</v>
      </c>
      <c r="G32" s="119">
        <f>+C32+E32</f>
        <v>71950.989999999991</v>
      </c>
      <c r="H32" s="119">
        <f>+D32+F32</f>
        <v>41971.410833333328</v>
      </c>
      <c r="I32" s="132" t="s">
        <v>19</v>
      </c>
      <c r="J32" s="113" t="s">
        <v>252</v>
      </c>
    </row>
    <row r="33" spans="1:9" x14ac:dyDescent="0.2">
      <c r="A33" s="121">
        <v>15</v>
      </c>
      <c r="B33" s="122">
        <v>282200</v>
      </c>
      <c r="C33" s="108">
        <v>45792.06</v>
      </c>
      <c r="D33" s="122"/>
      <c r="E33" s="108">
        <v>26158.93</v>
      </c>
      <c r="F33" s="123"/>
      <c r="G33" s="119">
        <f t="shared" ref="G33:G93" si="4">+C33+E33</f>
        <v>71950.989999999991</v>
      </c>
      <c r="H33" s="119">
        <f t="shared" ref="H33:H93" si="5">+D33+F33</f>
        <v>0</v>
      </c>
      <c r="I33" s="132" t="s">
        <v>48</v>
      </c>
    </row>
    <row r="34" spans="1:9" x14ac:dyDescent="0.2">
      <c r="A34" s="121">
        <v>32</v>
      </c>
      <c r="B34" s="122">
        <v>282200</v>
      </c>
      <c r="C34" s="108">
        <v>45792.06</v>
      </c>
      <c r="D34" s="122"/>
      <c r="E34" s="108">
        <v>26158.93</v>
      </c>
      <c r="F34" s="123"/>
      <c r="G34" s="119">
        <f t="shared" si="4"/>
        <v>71950.989999999991</v>
      </c>
      <c r="H34" s="119">
        <f t="shared" si="5"/>
        <v>0</v>
      </c>
      <c r="I34" s="132" t="s">
        <v>253</v>
      </c>
    </row>
    <row r="35" spans="1:9" x14ac:dyDescent="0.2">
      <c r="A35" s="121">
        <v>44</v>
      </c>
      <c r="B35" s="122">
        <v>440900</v>
      </c>
      <c r="C35" s="108">
        <v>71544.009999999995</v>
      </c>
      <c r="D35" s="122"/>
      <c r="E35" s="108">
        <v>40869.85</v>
      </c>
      <c r="F35" s="123"/>
      <c r="G35" s="119">
        <f t="shared" si="4"/>
        <v>112413.85999999999</v>
      </c>
      <c r="H35" s="119">
        <f t="shared" si="5"/>
        <v>0</v>
      </c>
      <c r="I35" s="132" t="s">
        <v>255</v>
      </c>
    </row>
    <row r="36" spans="1:9" x14ac:dyDescent="0.2">
      <c r="A36" s="121">
        <v>45</v>
      </c>
      <c r="B36" s="122">
        <v>440900</v>
      </c>
      <c r="C36" s="108">
        <v>71544.009999999995</v>
      </c>
      <c r="D36" s="122"/>
      <c r="E36" s="108">
        <v>40869.85</v>
      </c>
      <c r="F36" s="123"/>
      <c r="G36" s="119">
        <f t="shared" si="4"/>
        <v>112413.85999999999</v>
      </c>
      <c r="H36" s="119">
        <f t="shared" si="5"/>
        <v>0</v>
      </c>
      <c r="I36" s="132" t="s">
        <v>255</v>
      </c>
    </row>
    <row r="37" spans="1:9" x14ac:dyDescent="0.2">
      <c r="A37" s="121">
        <v>46</v>
      </c>
      <c r="B37" s="122">
        <v>440900</v>
      </c>
      <c r="C37" s="108">
        <v>71544.009999999995</v>
      </c>
      <c r="D37" s="122"/>
      <c r="E37" s="108">
        <v>40869.85</v>
      </c>
      <c r="F37" s="123"/>
      <c r="G37" s="119">
        <f t="shared" si="4"/>
        <v>112413.85999999999</v>
      </c>
      <c r="H37" s="119">
        <f t="shared" si="5"/>
        <v>0</v>
      </c>
      <c r="I37" s="132" t="s">
        <v>253</v>
      </c>
    </row>
    <row r="38" spans="1:9" x14ac:dyDescent="0.2">
      <c r="A38" s="121">
        <v>47</v>
      </c>
      <c r="B38" s="122">
        <v>440900</v>
      </c>
      <c r="C38" s="108">
        <v>71544.009999999995</v>
      </c>
      <c r="D38" s="122"/>
      <c r="E38" s="108">
        <v>40869.85</v>
      </c>
      <c r="F38" s="123"/>
      <c r="G38" s="119">
        <f t="shared" si="4"/>
        <v>112413.85999999999</v>
      </c>
      <c r="H38" s="119">
        <f t="shared" si="5"/>
        <v>0</v>
      </c>
      <c r="I38" s="132" t="s">
        <v>255</v>
      </c>
    </row>
    <row r="39" spans="1:9" x14ac:dyDescent="0.2">
      <c r="A39" s="121">
        <v>48</v>
      </c>
      <c r="B39" s="122">
        <v>440900</v>
      </c>
      <c r="C39" s="108">
        <v>71544.009999999995</v>
      </c>
      <c r="D39" s="122"/>
      <c r="E39" s="108">
        <v>40869.85</v>
      </c>
      <c r="F39" s="123"/>
      <c r="G39" s="119">
        <f t="shared" si="4"/>
        <v>112413.85999999999</v>
      </c>
      <c r="H39" s="119">
        <f t="shared" si="5"/>
        <v>0</v>
      </c>
      <c r="I39" s="132" t="s">
        <v>255</v>
      </c>
    </row>
    <row r="40" spans="1:9" x14ac:dyDescent="0.2">
      <c r="A40" s="121">
        <v>49</v>
      </c>
      <c r="B40" s="122">
        <v>440900</v>
      </c>
      <c r="C40" s="108">
        <v>71544.009999999995</v>
      </c>
      <c r="D40" s="122"/>
      <c r="E40" s="108">
        <v>40869.85</v>
      </c>
      <c r="F40" s="123"/>
      <c r="G40" s="119">
        <f t="shared" si="4"/>
        <v>112413.85999999999</v>
      </c>
      <c r="H40" s="119">
        <f t="shared" si="5"/>
        <v>0</v>
      </c>
      <c r="I40" s="132" t="s">
        <v>255</v>
      </c>
    </row>
    <row r="41" spans="1:9" x14ac:dyDescent="0.2">
      <c r="A41" s="121">
        <v>50</v>
      </c>
      <c r="B41" s="122">
        <v>1343376</v>
      </c>
      <c r="C41" s="108">
        <v>217987.1</v>
      </c>
      <c r="D41" s="122"/>
      <c r="E41" s="108">
        <v>124526.14</v>
      </c>
      <c r="F41" s="123"/>
      <c r="G41" s="119">
        <f t="shared" si="4"/>
        <v>342513.24</v>
      </c>
      <c r="H41" s="119">
        <f t="shared" si="5"/>
        <v>0</v>
      </c>
      <c r="I41" s="132" t="s">
        <v>255</v>
      </c>
    </row>
    <row r="42" spans="1:9" x14ac:dyDescent="0.2">
      <c r="A42" s="121">
        <v>51</v>
      </c>
      <c r="B42" s="122">
        <v>440900</v>
      </c>
      <c r="C42" s="108">
        <v>71544.009999999995</v>
      </c>
      <c r="D42" s="122"/>
      <c r="E42" s="108">
        <v>40869.85</v>
      </c>
      <c r="F42" s="123"/>
      <c r="G42" s="119">
        <f t="shared" si="4"/>
        <v>112413.85999999999</v>
      </c>
      <c r="H42" s="119">
        <f t="shared" si="5"/>
        <v>0</v>
      </c>
      <c r="I42" s="132" t="s">
        <v>255</v>
      </c>
    </row>
    <row r="43" spans="1:9" x14ac:dyDescent="0.2">
      <c r="A43" s="121">
        <v>52</v>
      </c>
      <c r="B43" s="122">
        <v>540200</v>
      </c>
      <c r="C43" s="108">
        <v>87657.24</v>
      </c>
      <c r="D43" s="122"/>
      <c r="E43" s="108">
        <v>50074.6</v>
      </c>
      <c r="F43" s="123"/>
      <c r="G43" s="119">
        <f t="shared" si="4"/>
        <v>137731.84</v>
      </c>
      <c r="H43" s="119">
        <f t="shared" si="5"/>
        <v>0</v>
      </c>
      <c r="I43" s="132" t="s">
        <v>255</v>
      </c>
    </row>
    <row r="44" spans="1:9" x14ac:dyDescent="0.2">
      <c r="A44" s="121">
        <v>53</v>
      </c>
      <c r="B44" s="122">
        <v>540200</v>
      </c>
      <c r="C44" s="108">
        <v>87657.24</v>
      </c>
      <c r="D44" s="122"/>
      <c r="E44" s="108">
        <v>50074.6</v>
      </c>
      <c r="F44" s="123"/>
      <c r="G44" s="119">
        <f t="shared" si="4"/>
        <v>137731.84</v>
      </c>
      <c r="H44" s="119">
        <f t="shared" si="5"/>
        <v>0</v>
      </c>
      <c r="I44" s="132" t="s">
        <v>255</v>
      </c>
    </row>
    <row r="45" spans="1:9" x14ac:dyDescent="0.2">
      <c r="A45" s="121">
        <v>55</v>
      </c>
      <c r="B45" s="122">
        <v>440900</v>
      </c>
      <c r="C45" s="108">
        <v>71544.009999999995</v>
      </c>
      <c r="D45" s="122"/>
      <c r="E45" s="108">
        <v>40869.85</v>
      </c>
      <c r="F45" s="123"/>
      <c r="G45" s="119">
        <f t="shared" si="4"/>
        <v>112413.85999999999</v>
      </c>
      <c r="H45" s="119">
        <f t="shared" si="5"/>
        <v>0</v>
      </c>
      <c r="I45" s="132" t="s">
        <v>255</v>
      </c>
    </row>
    <row r="46" spans="1:9" x14ac:dyDescent="0.2">
      <c r="A46" s="121">
        <v>72</v>
      </c>
      <c r="B46" s="122">
        <v>440900</v>
      </c>
      <c r="C46" s="108">
        <v>71544.009999999995</v>
      </c>
      <c r="D46" s="122"/>
      <c r="E46" s="108">
        <v>40869.85</v>
      </c>
      <c r="F46" s="123"/>
      <c r="G46" s="119">
        <f t="shared" si="4"/>
        <v>112413.85999999999</v>
      </c>
      <c r="H46" s="119">
        <f t="shared" si="5"/>
        <v>0</v>
      </c>
      <c r="I46" s="132" t="s">
        <v>22</v>
      </c>
    </row>
    <row r="47" spans="1:9" x14ac:dyDescent="0.2">
      <c r="A47" s="121">
        <v>73</v>
      </c>
      <c r="B47" s="122">
        <v>440900</v>
      </c>
      <c r="C47" s="108">
        <v>71544.009999999995</v>
      </c>
      <c r="D47" s="122"/>
      <c r="E47" s="108">
        <v>40869.85</v>
      </c>
      <c r="F47" s="123"/>
      <c r="G47" s="119">
        <f t="shared" si="4"/>
        <v>112413.85999999999</v>
      </c>
      <c r="H47" s="119">
        <f t="shared" si="5"/>
        <v>0</v>
      </c>
      <c r="I47" s="132" t="s">
        <v>253</v>
      </c>
    </row>
    <row r="48" spans="1:9" x14ac:dyDescent="0.2">
      <c r="A48" s="121">
        <v>74</v>
      </c>
      <c r="B48" s="122">
        <v>440900</v>
      </c>
      <c r="C48" s="108">
        <v>71544.009999999995</v>
      </c>
      <c r="D48" s="122"/>
      <c r="E48" s="108">
        <v>40869.85</v>
      </c>
      <c r="F48" s="123"/>
      <c r="G48" s="119">
        <f t="shared" si="4"/>
        <v>112413.85999999999</v>
      </c>
      <c r="H48" s="119">
        <f t="shared" si="5"/>
        <v>0</v>
      </c>
      <c r="I48" s="132" t="s">
        <v>22</v>
      </c>
    </row>
    <row r="49" spans="1:9" x14ac:dyDescent="0.2">
      <c r="A49" s="121">
        <v>75</v>
      </c>
      <c r="B49" s="122">
        <v>440900</v>
      </c>
      <c r="C49" s="108">
        <v>71544.009999999995</v>
      </c>
      <c r="D49" s="122"/>
      <c r="E49" s="108">
        <v>40869.85</v>
      </c>
      <c r="F49" s="123"/>
      <c r="G49" s="119">
        <f t="shared" si="4"/>
        <v>112413.85999999999</v>
      </c>
      <c r="H49" s="119">
        <f t="shared" si="5"/>
        <v>0</v>
      </c>
      <c r="I49" s="132" t="s">
        <v>254</v>
      </c>
    </row>
    <row r="50" spans="1:9" x14ac:dyDescent="0.2">
      <c r="A50" s="121">
        <v>115</v>
      </c>
      <c r="B50" s="122">
        <v>480900</v>
      </c>
      <c r="C50" s="108">
        <v>78034.740000000005</v>
      </c>
      <c r="D50" s="122"/>
      <c r="E50" s="108">
        <v>44577.71</v>
      </c>
      <c r="F50" s="123"/>
      <c r="G50" s="119">
        <f t="shared" si="4"/>
        <v>122612.45000000001</v>
      </c>
      <c r="H50" s="119">
        <f t="shared" si="5"/>
        <v>0</v>
      </c>
      <c r="I50" s="132" t="s">
        <v>22</v>
      </c>
    </row>
    <row r="51" spans="1:9" x14ac:dyDescent="0.2">
      <c r="A51" s="121">
        <v>116</v>
      </c>
      <c r="B51" s="122">
        <v>440900</v>
      </c>
      <c r="C51" s="108">
        <v>71544.009999999995</v>
      </c>
      <c r="D51" s="122"/>
      <c r="E51" s="108">
        <v>40869.85</v>
      </c>
      <c r="F51" s="123"/>
      <c r="G51" s="119">
        <f t="shared" si="4"/>
        <v>112413.85999999999</v>
      </c>
      <c r="H51" s="119">
        <f t="shared" si="5"/>
        <v>0</v>
      </c>
      <c r="I51" s="132" t="s">
        <v>253</v>
      </c>
    </row>
    <row r="52" spans="1:9" x14ac:dyDescent="0.2">
      <c r="A52" s="121">
        <v>128</v>
      </c>
      <c r="B52" s="122">
        <v>440900</v>
      </c>
      <c r="C52" s="108">
        <v>71544.009999999995</v>
      </c>
      <c r="D52" s="122"/>
      <c r="E52" s="108">
        <v>40869.85</v>
      </c>
      <c r="F52" s="123"/>
      <c r="G52" s="119">
        <f t="shared" si="4"/>
        <v>112413.85999999999</v>
      </c>
      <c r="H52" s="119">
        <f t="shared" si="5"/>
        <v>0</v>
      </c>
      <c r="I52" s="132" t="s">
        <v>254</v>
      </c>
    </row>
    <row r="53" spans="1:9" x14ac:dyDescent="0.2">
      <c r="A53" s="121">
        <v>129</v>
      </c>
      <c r="B53" s="122">
        <v>282200</v>
      </c>
      <c r="C53" s="108">
        <v>45792.06</v>
      </c>
      <c r="D53" s="122"/>
      <c r="E53" s="108">
        <v>26158.93</v>
      </c>
      <c r="F53" s="123"/>
      <c r="G53" s="119">
        <f t="shared" si="4"/>
        <v>71950.989999999991</v>
      </c>
      <c r="H53" s="119">
        <f t="shared" si="5"/>
        <v>0</v>
      </c>
      <c r="I53" s="132" t="s">
        <v>255</v>
      </c>
    </row>
    <row r="54" spans="1:9" x14ac:dyDescent="0.2">
      <c r="A54" s="121">
        <v>131</v>
      </c>
      <c r="B54" s="122">
        <v>540200</v>
      </c>
      <c r="C54" s="108">
        <v>87657.24</v>
      </c>
      <c r="D54" s="122"/>
      <c r="E54" s="108">
        <v>50074.6</v>
      </c>
      <c r="F54" s="123"/>
      <c r="G54" s="119">
        <f t="shared" si="4"/>
        <v>137731.84</v>
      </c>
      <c r="H54" s="119">
        <f t="shared" si="5"/>
        <v>0</v>
      </c>
      <c r="I54" s="132" t="s">
        <v>254</v>
      </c>
    </row>
    <row r="55" spans="1:9" x14ac:dyDescent="0.2">
      <c r="A55" s="121">
        <v>136</v>
      </c>
      <c r="B55" s="122">
        <v>180400</v>
      </c>
      <c r="C55" s="108">
        <v>29273.17</v>
      </c>
      <c r="D55" s="122"/>
      <c r="E55" s="108">
        <v>16722.43</v>
      </c>
      <c r="F55" s="123"/>
      <c r="G55" s="119">
        <f>+C55+E55</f>
        <v>45995.6</v>
      </c>
      <c r="H55" s="119">
        <f t="shared" si="5"/>
        <v>0</v>
      </c>
    </row>
    <row r="56" spans="1:9" x14ac:dyDescent="0.2">
      <c r="A56" s="121">
        <v>137</v>
      </c>
      <c r="B56" s="122">
        <v>180400</v>
      </c>
      <c r="C56" s="108">
        <v>29273.17</v>
      </c>
      <c r="D56" s="122"/>
      <c r="E56" s="108">
        <v>16722.43</v>
      </c>
      <c r="F56" s="123"/>
      <c r="G56" s="119">
        <f t="shared" si="4"/>
        <v>45995.6</v>
      </c>
      <c r="H56" s="119">
        <f t="shared" si="5"/>
        <v>0</v>
      </c>
    </row>
    <row r="57" spans="1:9" x14ac:dyDescent="0.2">
      <c r="A57" s="121">
        <v>138</v>
      </c>
      <c r="B57" s="122">
        <v>440900</v>
      </c>
      <c r="C57" s="108">
        <v>71544.009999999995</v>
      </c>
      <c r="D57" s="122"/>
      <c r="E57" s="108">
        <v>40869.85</v>
      </c>
      <c r="F57" s="123"/>
      <c r="G57" s="119">
        <f t="shared" si="4"/>
        <v>112413.85999999999</v>
      </c>
      <c r="H57" s="119">
        <f t="shared" si="5"/>
        <v>0</v>
      </c>
      <c r="I57" s="132" t="s">
        <v>254</v>
      </c>
    </row>
    <row r="58" spans="1:9" x14ac:dyDescent="0.2">
      <c r="A58" s="121">
        <v>141</v>
      </c>
      <c r="B58" s="122">
        <v>192900</v>
      </c>
      <c r="C58" s="118">
        <v>31301.52</v>
      </c>
      <c r="D58" s="124"/>
      <c r="E58" s="108">
        <v>17881.14</v>
      </c>
      <c r="F58" s="123"/>
      <c r="G58" s="119">
        <f t="shared" si="4"/>
        <v>49182.66</v>
      </c>
      <c r="H58" s="119">
        <f t="shared" si="5"/>
        <v>0</v>
      </c>
    </row>
    <row r="59" spans="1:9" x14ac:dyDescent="0.2">
      <c r="A59" s="121">
        <v>142</v>
      </c>
      <c r="B59" s="122">
        <v>192900</v>
      </c>
      <c r="C59" s="118">
        <v>31301.52</v>
      </c>
      <c r="D59" s="124"/>
      <c r="E59" s="108">
        <v>17881.14</v>
      </c>
      <c r="F59" s="123"/>
      <c r="G59" s="119">
        <f t="shared" si="4"/>
        <v>49182.66</v>
      </c>
      <c r="H59" s="119">
        <f t="shared" si="5"/>
        <v>0</v>
      </c>
      <c r="I59" s="132" t="s">
        <v>254</v>
      </c>
    </row>
    <row r="60" spans="1:9" x14ac:dyDescent="0.2">
      <c r="A60" s="121">
        <v>143</v>
      </c>
      <c r="B60" s="122">
        <v>192900</v>
      </c>
      <c r="C60" s="118">
        <v>31301.52</v>
      </c>
      <c r="D60" s="124"/>
      <c r="E60" s="108">
        <v>17881.14</v>
      </c>
      <c r="F60" s="123"/>
      <c r="G60" s="119">
        <f t="shared" si="4"/>
        <v>49182.66</v>
      </c>
      <c r="H60" s="119">
        <f t="shared" si="5"/>
        <v>0</v>
      </c>
      <c r="I60" s="132" t="s">
        <v>254</v>
      </c>
    </row>
    <row r="61" spans="1:9" x14ac:dyDescent="0.2">
      <c r="A61" s="121">
        <v>144</v>
      </c>
      <c r="B61" s="122">
        <v>192900</v>
      </c>
      <c r="C61" s="118">
        <v>31301.52</v>
      </c>
      <c r="D61" s="124"/>
      <c r="E61" s="108">
        <v>17881.14</v>
      </c>
      <c r="F61" s="123"/>
      <c r="G61" s="119">
        <f t="shared" si="4"/>
        <v>49182.66</v>
      </c>
      <c r="H61" s="119">
        <f t="shared" si="5"/>
        <v>0</v>
      </c>
      <c r="I61" s="132" t="s">
        <v>19</v>
      </c>
    </row>
    <row r="62" spans="1:9" x14ac:dyDescent="0.2">
      <c r="A62" s="121">
        <v>145</v>
      </c>
      <c r="B62" s="122">
        <v>192900</v>
      </c>
      <c r="C62" s="118">
        <v>31301.52</v>
      </c>
      <c r="D62" s="124"/>
      <c r="E62" s="108">
        <v>17881.14</v>
      </c>
      <c r="F62" s="123"/>
      <c r="G62" s="119">
        <f t="shared" si="4"/>
        <v>49182.66</v>
      </c>
      <c r="H62" s="119">
        <f t="shared" si="5"/>
        <v>0</v>
      </c>
      <c r="I62" s="132" t="s">
        <v>19</v>
      </c>
    </row>
    <row r="63" spans="1:9" x14ac:dyDescent="0.2">
      <c r="A63" s="121">
        <v>152</v>
      </c>
      <c r="B63" s="122">
        <v>282200</v>
      </c>
      <c r="C63" s="108">
        <v>45792.06</v>
      </c>
      <c r="D63" s="122"/>
      <c r="E63" s="108">
        <v>26158.93</v>
      </c>
      <c r="F63" s="123"/>
      <c r="G63" s="119">
        <f t="shared" si="4"/>
        <v>71950.989999999991</v>
      </c>
      <c r="H63" s="119">
        <f t="shared" si="5"/>
        <v>0</v>
      </c>
      <c r="I63" s="132" t="s">
        <v>22</v>
      </c>
    </row>
    <row r="64" spans="1:9" x14ac:dyDescent="0.2">
      <c r="A64" s="121">
        <v>153</v>
      </c>
      <c r="B64" s="122">
        <v>282200</v>
      </c>
      <c r="C64" s="108">
        <v>45792.06</v>
      </c>
      <c r="D64" s="122"/>
      <c r="E64" s="108">
        <v>26158.93</v>
      </c>
      <c r="F64" s="123"/>
      <c r="G64" s="119">
        <f t="shared" si="4"/>
        <v>71950.989999999991</v>
      </c>
      <c r="H64" s="119">
        <f t="shared" si="5"/>
        <v>0</v>
      </c>
      <c r="I64" s="132" t="s">
        <v>22</v>
      </c>
    </row>
    <row r="65" spans="1:9" x14ac:dyDescent="0.2">
      <c r="A65" s="121">
        <v>154</v>
      </c>
      <c r="B65" s="122">
        <v>282200</v>
      </c>
      <c r="C65" s="108">
        <v>45792.06</v>
      </c>
      <c r="D65" s="122"/>
      <c r="E65" s="108">
        <v>26158.93</v>
      </c>
      <c r="F65" s="123"/>
      <c r="G65" s="119">
        <f t="shared" si="4"/>
        <v>71950.989999999991</v>
      </c>
      <c r="H65" s="119">
        <f t="shared" si="5"/>
        <v>0</v>
      </c>
      <c r="I65" s="132" t="s">
        <v>22</v>
      </c>
    </row>
    <row r="66" spans="1:9" x14ac:dyDescent="0.2">
      <c r="A66" s="121">
        <v>155</v>
      </c>
      <c r="B66" s="122">
        <v>440900</v>
      </c>
      <c r="C66" s="108">
        <v>71544.009999999995</v>
      </c>
      <c r="D66" s="122"/>
      <c r="E66" s="108">
        <v>40869.85</v>
      </c>
      <c r="F66" s="123"/>
      <c r="G66" s="119">
        <f t="shared" si="4"/>
        <v>112413.85999999999</v>
      </c>
      <c r="H66" s="119">
        <f t="shared" si="5"/>
        <v>0</v>
      </c>
      <c r="I66" s="132" t="s">
        <v>253</v>
      </c>
    </row>
    <row r="67" spans="1:9" x14ac:dyDescent="0.2">
      <c r="A67" s="121">
        <v>156</v>
      </c>
      <c r="B67" s="122">
        <v>440900</v>
      </c>
      <c r="C67" s="108">
        <v>71544.009999999995</v>
      </c>
      <c r="D67" s="122"/>
      <c r="E67" s="108">
        <v>40869.85</v>
      </c>
      <c r="F67" s="123"/>
      <c r="G67" s="119">
        <f t="shared" si="4"/>
        <v>112413.85999999999</v>
      </c>
      <c r="H67" s="119">
        <f t="shared" si="5"/>
        <v>0</v>
      </c>
      <c r="I67" s="132" t="s">
        <v>253</v>
      </c>
    </row>
    <row r="68" spans="1:9" x14ac:dyDescent="0.2">
      <c r="A68" s="121">
        <v>158</v>
      </c>
      <c r="B68" s="122">
        <v>192900</v>
      </c>
      <c r="C68" s="118">
        <v>31301.52</v>
      </c>
      <c r="D68" s="124"/>
      <c r="E68" s="108">
        <v>17881.14</v>
      </c>
      <c r="F68" s="123"/>
      <c r="G68" s="119">
        <f t="shared" si="4"/>
        <v>49182.66</v>
      </c>
      <c r="H68" s="119">
        <f t="shared" si="5"/>
        <v>0</v>
      </c>
      <c r="I68" s="132" t="s">
        <v>253</v>
      </c>
    </row>
    <row r="69" spans="1:9" x14ac:dyDescent="0.2">
      <c r="A69" s="121">
        <v>159</v>
      </c>
      <c r="B69" s="122">
        <v>192900</v>
      </c>
      <c r="C69" s="118">
        <v>31301.52</v>
      </c>
      <c r="D69" s="124"/>
      <c r="E69" s="108">
        <v>17881.14</v>
      </c>
      <c r="F69" s="123"/>
      <c r="G69" s="119">
        <f t="shared" si="4"/>
        <v>49182.66</v>
      </c>
      <c r="H69" s="119">
        <f t="shared" si="5"/>
        <v>0</v>
      </c>
      <c r="I69" s="132" t="s">
        <v>22</v>
      </c>
    </row>
    <row r="70" spans="1:9" x14ac:dyDescent="0.2">
      <c r="A70" s="121">
        <v>160</v>
      </c>
      <c r="B70" s="122">
        <v>192900</v>
      </c>
      <c r="C70" s="118">
        <v>31301.52</v>
      </c>
      <c r="D70" s="124"/>
      <c r="E70" s="108">
        <v>17881.14</v>
      </c>
      <c r="F70" s="123"/>
      <c r="G70" s="119">
        <f t="shared" si="4"/>
        <v>49182.66</v>
      </c>
      <c r="H70" s="119">
        <f t="shared" si="5"/>
        <v>0</v>
      </c>
      <c r="I70" s="132" t="s">
        <v>253</v>
      </c>
    </row>
    <row r="71" spans="1:9" x14ac:dyDescent="0.2">
      <c r="A71" s="121">
        <v>161</v>
      </c>
      <c r="B71" s="122">
        <v>192900</v>
      </c>
      <c r="C71" s="118">
        <v>31301.52</v>
      </c>
      <c r="D71" s="124"/>
      <c r="E71" s="108">
        <v>17881.14</v>
      </c>
      <c r="F71" s="123"/>
      <c r="G71" s="119">
        <f t="shared" si="4"/>
        <v>49182.66</v>
      </c>
      <c r="H71" s="119">
        <f t="shared" si="5"/>
        <v>0</v>
      </c>
      <c r="I71" s="132" t="s">
        <v>22</v>
      </c>
    </row>
    <row r="72" spans="1:9" x14ac:dyDescent="0.2">
      <c r="A72" s="121">
        <v>162</v>
      </c>
      <c r="B72" s="122">
        <v>192900</v>
      </c>
      <c r="C72" s="118">
        <v>31301.52</v>
      </c>
      <c r="D72" s="124"/>
      <c r="E72" s="108">
        <v>17881.14</v>
      </c>
      <c r="F72" s="123"/>
      <c r="G72" s="119">
        <f t="shared" si="4"/>
        <v>49182.66</v>
      </c>
      <c r="H72" s="119">
        <f t="shared" si="5"/>
        <v>0</v>
      </c>
      <c r="I72" s="132" t="s">
        <v>254</v>
      </c>
    </row>
    <row r="73" spans="1:9" x14ac:dyDescent="0.2">
      <c r="A73" s="121">
        <v>163</v>
      </c>
      <c r="B73" s="122">
        <v>180400</v>
      </c>
      <c r="C73" s="108">
        <v>29273.17</v>
      </c>
      <c r="D73" s="122"/>
      <c r="E73" s="108">
        <v>16722.43</v>
      </c>
      <c r="F73" s="123"/>
      <c r="G73" s="119">
        <f t="shared" si="4"/>
        <v>45995.6</v>
      </c>
      <c r="H73" s="119">
        <f t="shared" si="5"/>
        <v>0</v>
      </c>
    </row>
    <row r="74" spans="1:9" x14ac:dyDescent="0.2">
      <c r="A74" s="121">
        <v>164</v>
      </c>
      <c r="B74" s="122">
        <v>180400</v>
      </c>
      <c r="C74" s="108">
        <v>29273.17</v>
      </c>
      <c r="D74" s="122"/>
      <c r="E74" s="108">
        <v>16722.43</v>
      </c>
      <c r="F74" s="123"/>
      <c r="G74" s="119">
        <f t="shared" si="4"/>
        <v>45995.6</v>
      </c>
      <c r="H74" s="119">
        <f t="shared" si="5"/>
        <v>0</v>
      </c>
    </row>
    <row r="75" spans="1:9" x14ac:dyDescent="0.2">
      <c r="A75" s="121">
        <v>168</v>
      </c>
      <c r="B75" s="122">
        <v>440900</v>
      </c>
      <c r="C75" s="108">
        <v>71544.009999999995</v>
      </c>
      <c r="D75" s="122"/>
      <c r="E75" s="108">
        <v>40869.85</v>
      </c>
      <c r="F75" s="123"/>
      <c r="G75" s="119">
        <f t="shared" si="4"/>
        <v>112413.85999999999</v>
      </c>
      <c r="H75" s="119">
        <f t="shared" si="5"/>
        <v>0</v>
      </c>
      <c r="I75" s="132" t="s">
        <v>254</v>
      </c>
    </row>
    <row r="76" spans="1:9" x14ac:dyDescent="0.2">
      <c r="A76" s="121">
        <v>169</v>
      </c>
      <c r="B76" s="122">
        <v>440900</v>
      </c>
      <c r="C76" s="108">
        <v>71544.009999999995</v>
      </c>
      <c r="D76" s="122"/>
      <c r="E76" s="108">
        <v>40869.85</v>
      </c>
      <c r="F76" s="123"/>
      <c r="G76" s="119">
        <f t="shared" si="4"/>
        <v>112413.85999999999</v>
      </c>
      <c r="H76" s="119">
        <f t="shared" si="5"/>
        <v>0</v>
      </c>
      <c r="I76" s="132" t="s">
        <v>253</v>
      </c>
    </row>
    <row r="77" spans="1:9" x14ac:dyDescent="0.2">
      <c r="A77" s="121">
        <v>170</v>
      </c>
      <c r="B77" s="122">
        <v>440900</v>
      </c>
      <c r="C77" s="108">
        <v>71544.009999999995</v>
      </c>
      <c r="D77" s="122"/>
      <c r="E77" s="108">
        <v>40869.85</v>
      </c>
      <c r="F77" s="123"/>
      <c r="G77" s="119">
        <f t="shared" si="4"/>
        <v>112413.85999999999</v>
      </c>
      <c r="H77" s="119">
        <f t="shared" si="5"/>
        <v>0</v>
      </c>
      <c r="I77" s="132" t="s">
        <v>253</v>
      </c>
    </row>
    <row r="78" spans="1:9" x14ac:dyDescent="0.2">
      <c r="A78" s="121">
        <v>253</v>
      </c>
      <c r="B78" s="122">
        <v>192900</v>
      </c>
      <c r="C78" s="118">
        <v>31301.52</v>
      </c>
      <c r="D78" s="124"/>
      <c r="E78" s="108">
        <v>17881.14</v>
      </c>
      <c r="F78" s="123"/>
      <c r="G78" s="119">
        <f t="shared" si="4"/>
        <v>49182.66</v>
      </c>
      <c r="H78" s="119">
        <f t="shared" si="5"/>
        <v>0</v>
      </c>
      <c r="I78" s="132" t="s">
        <v>22</v>
      </c>
    </row>
    <row r="79" spans="1:9" x14ac:dyDescent="0.2">
      <c r="A79" s="121">
        <v>254</v>
      </c>
      <c r="B79" s="122">
        <v>192900</v>
      </c>
      <c r="C79" s="118">
        <v>31301.52</v>
      </c>
      <c r="D79" s="124"/>
      <c r="E79" s="108">
        <v>17881.14</v>
      </c>
      <c r="F79" s="123"/>
      <c r="G79" s="119">
        <f t="shared" si="4"/>
        <v>49182.66</v>
      </c>
      <c r="H79" s="119">
        <f t="shared" si="5"/>
        <v>0</v>
      </c>
      <c r="I79" s="132" t="s">
        <v>22</v>
      </c>
    </row>
    <row r="80" spans="1:9" x14ac:dyDescent="0.2">
      <c r="A80" s="121">
        <v>255</v>
      </c>
      <c r="B80" s="122">
        <v>192900</v>
      </c>
      <c r="C80" s="118">
        <v>31301.52</v>
      </c>
      <c r="D80" s="124"/>
      <c r="E80" s="108">
        <v>17881.14</v>
      </c>
      <c r="F80" s="123"/>
      <c r="G80" s="119">
        <f t="shared" si="4"/>
        <v>49182.66</v>
      </c>
      <c r="H80" s="119">
        <f t="shared" si="5"/>
        <v>0</v>
      </c>
      <c r="I80" s="132" t="s">
        <v>255</v>
      </c>
    </row>
    <row r="81" spans="1:9" x14ac:dyDescent="0.2">
      <c r="A81" s="121">
        <v>256</v>
      </c>
      <c r="B81" s="122">
        <v>192900</v>
      </c>
      <c r="C81" s="118">
        <v>31301.52</v>
      </c>
      <c r="D81" s="124"/>
      <c r="E81" s="108">
        <v>17881.14</v>
      </c>
      <c r="F81" s="123"/>
      <c r="G81" s="119">
        <f t="shared" si="4"/>
        <v>49182.66</v>
      </c>
      <c r="H81" s="119">
        <f t="shared" si="5"/>
        <v>0</v>
      </c>
      <c r="I81" s="132" t="s">
        <v>253</v>
      </c>
    </row>
    <row r="82" spans="1:9" x14ac:dyDescent="0.2">
      <c r="A82" s="121">
        <v>257</v>
      </c>
      <c r="B82" s="122">
        <v>192900</v>
      </c>
      <c r="C82" s="118">
        <v>31301.52</v>
      </c>
      <c r="D82" s="124"/>
      <c r="E82" s="108">
        <v>17881.14</v>
      </c>
      <c r="F82" s="123"/>
      <c r="G82" s="119">
        <f t="shared" si="4"/>
        <v>49182.66</v>
      </c>
      <c r="H82" s="119">
        <f t="shared" si="5"/>
        <v>0</v>
      </c>
      <c r="I82" s="132" t="s">
        <v>22</v>
      </c>
    </row>
    <row r="83" spans="1:9" x14ac:dyDescent="0.2">
      <c r="A83" s="121">
        <v>258</v>
      </c>
      <c r="B83" s="122">
        <v>180400</v>
      </c>
      <c r="C83" s="108">
        <v>29273.17</v>
      </c>
      <c r="D83" s="122"/>
      <c r="E83" s="108">
        <v>16722.43</v>
      </c>
      <c r="F83" s="123"/>
      <c r="G83" s="119">
        <f t="shared" si="4"/>
        <v>45995.6</v>
      </c>
      <c r="H83" s="119">
        <f t="shared" si="5"/>
        <v>0</v>
      </c>
    </row>
    <row r="84" spans="1:9" x14ac:dyDescent="0.2">
      <c r="A84" s="121">
        <v>259</v>
      </c>
      <c r="B84" s="122">
        <v>180400</v>
      </c>
      <c r="C84" s="108">
        <v>29273.17</v>
      </c>
      <c r="D84" s="122"/>
      <c r="E84" s="108">
        <v>16722.43</v>
      </c>
      <c r="F84" s="123"/>
      <c r="G84" s="119">
        <f t="shared" si="4"/>
        <v>45995.6</v>
      </c>
      <c r="H84" s="119">
        <f t="shared" si="5"/>
        <v>0</v>
      </c>
    </row>
    <row r="85" spans="1:9" x14ac:dyDescent="0.2">
      <c r="A85" s="121">
        <v>260</v>
      </c>
      <c r="B85" s="122">
        <v>282200</v>
      </c>
      <c r="C85" s="108">
        <v>45792.06</v>
      </c>
      <c r="D85" s="122"/>
      <c r="E85" s="108">
        <v>26158.93</v>
      </c>
      <c r="F85" s="123"/>
      <c r="G85" s="119">
        <f t="shared" si="4"/>
        <v>71950.989999999991</v>
      </c>
      <c r="H85" s="119">
        <f t="shared" si="5"/>
        <v>0</v>
      </c>
      <c r="I85" s="132" t="s">
        <v>255</v>
      </c>
    </row>
    <row r="86" spans="1:9" x14ac:dyDescent="0.2">
      <c r="A86" s="121">
        <v>261</v>
      </c>
      <c r="B86" s="122">
        <v>282200</v>
      </c>
      <c r="C86" s="108">
        <v>45792.06</v>
      </c>
      <c r="D86" s="122"/>
      <c r="E86" s="108">
        <v>26158.93</v>
      </c>
      <c r="F86" s="123"/>
      <c r="G86" s="119">
        <f t="shared" si="4"/>
        <v>71950.989999999991</v>
      </c>
      <c r="H86" s="119">
        <f t="shared" si="5"/>
        <v>0</v>
      </c>
      <c r="I86" s="132" t="s">
        <v>255</v>
      </c>
    </row>
    <row r="87" spans="1:9" x14ac:dyDescent="0.2">
      <c r="A87" s="121">
        <v>262</v>
      </c>
      <c r="B87" s="122">
        <v>282200</v>
      </c>
      <c r="C87" s="108">
        <v>45792.06</v>
      </c>
      <c r="D87" s="122"/>
      <c r="E87" s="108">
        <v>26158.93</v>
      </c>
      <c r="F87" s="123"/>
      <c r="G87" s="119">
        <f t="shared" si="4"/>
        <v>71950.989999999991</v>
      </c>
      <c r="H87" s="119">
        <f t="shared" si="5"/>
        <v>0</v>
      </c>
      <c r="I87" s="132" t="s">
        <v>255</v>
      </c>
    </row>
    <row r="88" spans="1:9" x14ac:dyDescent="0.2">
      <c r="A88" s="121">
        <v>263</v>
      </c>
      <c r="B88" s="122">
        <v>282200</v>
      </c>
      <c r="C88" s="108">
        <v>45792.06</v>
      </c>
      <c r="D88" s="122"/>
      <c r="E88" s="108">
        <v>26158.93</v>
      </c>
      <c r="F88" s="123"/>
      <c r="G88" s="119">
        <f t="shared" si="4"/>
        <v>71950.989999999991</v>
      </c>
      <c r="H88" s="119">
        <f t="shared" si="5"/>
        <v>0</v>
      </c>
      <c r="I88" s="132" t="s">
        <v>255</v>
      </c>
    </row>
    <row r="89" spans="1:9" x14ac:dyDescent="0.2">
      <c r="A89" s="121">
        <v>326</v>
      </c>
      <c r="B89" s="122">
        <v>700000</v>
      </c>
      <c r="C89" s="108">
        <v>113587.68</v>
      </c>
      <c r="D89" s="122"/>
      <c r="E89" s="108">
        <v>64887.49</v>
      </c>
      <c r="F89" s="123"/>
      <c r="G89" s="119">
        <f t="shared" si="4"/>
        <v>178475.16999999998</v>
      </c>
      <c r="H89" s="119">
        <f t="shared" si="5"/>
        <v>0</v>
      </c>
    </row>
    <row r="90" spans="1:9" x14ac:dyDescent="0.2">
      <c r="A90" s="121"/>
      <c r="B90" s="122"/>
      <c r="C90" s="122"/>
      <c r="D90" s="122"/>
      <c r="E90" s="122"/>
      <c r="F90" s="123"/>
      <c r="G90" s="119">
        <f t="shared" si="4"/>
        <v>0</v>
      </c>
      <c r="H90" s="119">
        <f t="shared" si="5"/>
        <v>0</v>
      </c>
    </row>
    <row r="91" spans="1:9" x14ac:dyDescent="0.2">
      <c r="A91" s="121"/>
      <c r="B91" s="122"/>
      <c r="C91" s="122"/>
      <c r="D91" s="122"/>
      <c r="E91" s="122"/>
      <c r="F91" s="123"/>
      <c r="G91" s="119">
        <f t="shared" si="4"/>
        <v>0</v>
      </c>
      <c r="H91" s="119">
        <f t="shared" si="5"/>
        <v>0</v>
      </c>
    </row>
    <row r="92" spans="1:9" x14ac:dyDescent="0.2">
      <c r="A92" s="121"/>
      <c r="B92" s="122"/>
      <c r="C92" s="122"/>
      <c r="D92" s="122"/>
      <c r="E92" s="122"/>
      <c r="F92" s="123"/>
      <c r="G92" s="119">
        <f t="shared" si="4"/>
        <v>0</v>
      </c>
      <c r="H92" s="119">
        <f t="shared" si="5"/>
        <v>0</v>
      </c>
    </row>
    <row r="93" spans="1:9" x14ac:dyDescent="0.2">
      <c r="A93" s="121"/>
      <c r="B93" s="122"/>
      <c r="C93" s="122"/>
      <c r="D93" s="122"/>
      <c r="E93" s="122"/>
      <c r="F93" s="123"/>
      <c r="G93" s="119">
        <f t="shared" si="4"/>
        <v>0</v>
      </c>
      <c r="H93" s="119">
        <f t="shared" si="5"/>
        <v>0</v>
      </c>
    </row>
    <row r="94" spans="1:9" x14ac:dyDescent="0.2">
      <c r="A94" s="106"/>
      <c r="B94" s="107"/>
      <c r="C94" s="107"/>
      <c r="D94" s="125">
        <f>+C94/12*7</f>
        <v>0</v>
      </c>
      <c r="E94" s="109"/>
      <c r="F94" s="112"/>
      <c r="H94" s="126">
        <f>+D94+F94</f>
        <v>0</v>
      </c>
    </row>
    <row r="95" spans="1:9" x14ac:dyDescent="0.2">
      <c r="A95" s="106"/>
      <c r="B95" s="107">
        <f>SUM(B2:B94)</f>
        <v>28861669</v>
      </c>
      <c r="C95" s="107">
        <f>SUM(C2:C94)</f>
        <v>4683328.6099999947</v>
      </c>
      <c r="D95" s="109"/>
      <c r="E95" s="109">
        <f>SUM(E2:E94)</f>
        <v>2675373.3200000036</v>
      </c>
      <c r="F95" s="112"/>
      <c r="G95" s="126">
        <f>SUM(G2:G94)</f>
        <v>7358701.9300000044</v>
      </c>
    </row>
    <row r="96" spans="1:9" hidden="1" x14ac:dyDescent="0.2"/>
    <row r="97" spans="1:8" hidden="1" x14ac:dyDescent="0.2">
      <c r="A97" s="129" t="s">
        <v>229</v>
      </c>
      <c r="B97" s="128">
        <f>+B95/5</f>
        <v>5772333.7999999998</v>
      </c>
    </row>
    <row r="98" spans="1:8" x14ac:dyDescent="0.2">
      <c r="H98" s="126">
        <f>+D98+F98</f>
        <v>0</v>
      </c>
    </row>
    <row r="99" spans="1:8" x14ac:dyDescent="0.2">
      <c r="H99" s="126">
        <f>+D99+F99</f>
        <v>0</v>
      </c>
    </row>
    <row r="101" spans="1:8" x14ac:dyDescent="0.2">
      <c r="E101" s="126">
        <f>SUBTOTAL(9,E33:E100)</f>
        <v>4507126.4400000013</v>
      </c>
    </row>
    <row r="103" spans="1:8" ht="18" x14ac:dyDescent="0.25">
      <c r="B103" s="130">
        <f>+B95+G95</f>
        <v>36220370.930000007</v>
      </c>
    </row>
  </sheetData>
  <autoFilter ref="A1:J95" xr:uid="{00000000-0009-0000-0000-00000B000000}"/>
  <customSheetViews>
    <customSheetView guid="{85BAD813-6002-444C-94EE-85A3EFC799A5}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1"/>
      <autoFilter ref="A1:J95" xr:uid="{00000000-0009-0000-0000-00000B000000}"/>
    </customSheetView>
    <customSheetView guid="{DF69299D-7752-4436-A45D-28F739CEE21B}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2"/>
      <autoFilter ref="A1:J95" xr:uid="{00000000-0000-0000-0000-000000000000}"/>
    </customSheetView>
    <customSheetView guid="{6C0BD6A7-6718-429D-82D9-D2FE0341EA2C}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3"/>
      <autoFilter ref="A1:J95" xr:uid="{00000000-0000-0000-0000-000000000000}"/>
    </customSheetView>
    <customSheetView guid="{594C4AB0-8D5F-4373-9663-410F4413FE3A}" showPageBreaks="1" showAutoFilter="1" hiddenRows="1">
      <pane xSplit="1" ySplit="1" topLeftCell="B2" activePane="bottomRight" state="frozen"/>
      <selection pane="bottomRight" activeCell="B2" sqref="B2"/>
      <pageMargins left="0" right="0" top="0" bottom="0" header="0.31496062992125984" footer="0.31496062992125984"/>
      <pageSetup paperSize="9" scale="85" orientation="portrait" r:id="rId4"/>
      <autoFilter ref="A1:J95" xr:uid="{00000000-0000-0000-0000-000000000000}"/>
    </customSheetView>
  </customSheetViews>
  <pageMargins left="0" right="0" top="0" bottom="0" header="0.31496062992125984" footer="0.31496062992125984"/>
  <pageSetup paperSize="9" scale="85" orientation="portrait"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B6:K35"/>
  <sheetViews>
    <sheetView topLeftCell="A7" workbookViewId="0">
      <selection activeCell="K13" sqref="K13"/>
    </sheetView>
  </sheetViews>
  <sheetFormatPr defaultRowHeight="12.75" x14ac:dyDescent="0.2"/>
  <cols>
    <col min="2" max="2" width="25.7109375" customWidth="1"/>
    <col min="3" max="3" width="6.85546875" bestFit="1" customWidth="1"/>
    <col min="4" max="4" width="40.42578125" bestFit="1" customWidth="1"/>
    <col min="5" max="5" width="9.5703125" bestFit="1" customWidth="1"/>
    <col min="6" max="6" width="13.5703125" customWidth="1"/>
    <col min="7" max="7" width="9.7109375" bestFit="1" customWidth="1"/>
    <col min="8" max="8" width="12" bestFit="1" customWidth="1"/>
  </cols>
  <sheetData>
    <row r="6" spans="2:11" x14ac:dyDescent="0.2">
      <c r="B6" s="155"/>
      <c r="C6" s="155"/>
      <c r="D6" s="156" t="s">
        <v>506</v>
      </c>
      <c r="E6" s="157"/>
      <c r="F6" s="157"/>
      <c r="G6" s="157"/>
      <c r="H6" s="155"/>
    </row>
    <row r="7" spans="2:11" ht="13.5" thickBot="1" x14ac:dyDescent="0.25">
      <c r="B7" s="155"/>
      <c r="C7" s="155"/>
      <c r="D7" s="155"/>
      <c r="E7" s="155"/>
      <c r="F7" s="155"/>
      <c r="G7" s="155"/>
      <c r="H7" s="155"/>
    </row>
    <row r="8" spans="2:11" ht="51.75" thickBot="1" x14ac:dyDescent="0.25">
      <c r="B8" s="158" t="s">
        <v>507</v>
      </c>
      <c r="C8" s="159" t="s">
        <v>508</v>
      </c>
      <c r="D8" s="160" t="s">
        <v>509</v>
      </c>
      <c r="E8" s="160" t="s">
        <v>510</v>
      </c>
      <c r="F8" s="160" t="s">
        <v>511</v>
      </c>
      <c r="G8" s="161" t="s">
        <v>512</v>
      </c>
      <c r="H8" s="155"/>
    </row>
    <row r="9" spans="2:11" x14ac:dyDescent="0.2">
      <c r="B9" s="162" t="s">
        <v>513</v>
      </c>
      <c r="C9" s="163" t="s">
        <v>514</v>
      </c>
      <c r="D9" s="164">
        <v>211698</v>
      </c>
      <c r="E9" s="165" t="s">
        <v>515</v>
      </c>
      <c r="F9" s="166">
        <v>13295.81</v>
      </c>
      <c r="G9" s="167">
        <v>1632.82</v>
      </c>
      <c r="H9" s="168">
        <f>F9*12</f>
        <v>159549.72</v>
      </c>
      <c r="K9">
        <f>7094743.47+15800+785082.21+538137.08</f>
        <v>8433762.7599999998</v>
      </c>
    </row>
    <row r="10" spans="2:11" x14ac:dyDescent="0.2">
      <c r="B10" s="162" t="s">
        <v>516</v>
      </c>
      <c r="C10" s="169" t="s">
        <v>517</v>
      </c>
      <c r="D10" s="164">
        <v>211699</v>
      </c>
      <c r="E10" s="165" t="s">
        <v>515</v>
      </c>
      <c r="F10" s="166">
        <v>13260.01</v>
      </c>
      <c r="G10" s="167">
        <v>1628.42</v>
      </c>
      <c r="H10" s="168">
        <f t="shared" ref="H10:H19" si="0">F10*12</f>
        <v>159120.12</v>
      </c>
      <c r="K10">
        <f>+K9+152743.88</f>
        <v>8586506.6400000006</v>
      </c>
    </row>
    <row r="11" spans="2:11" x14ac:dyDescent="0.2">
      <c r="B11" s="162" t="s">
        <v>516</v>
      </c>
      <c r="C11" s="163" t="s">
        <v>518</v>
      </c>
      <c r="D11" s="164">
        <v>211701</v>
      </c>
      <c r="E11" s="165" t="s">
        <v>515</v>
      </c>
      <c r="F11" s="166">
        <v>15645.86</v>
      </c>
      <c r="G11" s="167">
        <v>1921.42</v>
      </c>
      <c r="H11" s="168">
        <f t="shared" si="0"/>
        <v>187750.32</v>
      </c>
      <c r="K11">
        <v>8721516.5399999991</v>
      </c>
    </row>
    <row r="12" spans="2:11" x14ac:dyDescent="0.2">
      <c r="B12" s="162" t="s">
        <v>516</v>
      </c>
      <c r="C12" s="170" t="s">
        <v>519</v>
      </c>
      <c r="D12" s="164">
        <v>211704</v>
      </c>
      <c r="E12" s="165" t="s">
        <v>515</v>
      </c>
      <c r="F12" s="166">
        <v>12999.17</v>
      </c>
      <c r="G12" s="167">
        <v>1596.39</v>
      </c>
      <c r="H12" s="168">
        <f t="shared" si="0"/>
        <v>155990.04</v>
      </c>
      <c r="K12">
        <f>+K11-K10</f>
        <v>135009.89999999851</v>
      </c>
    </row>
    <row r="13" spans="2:11" x14ac:dyDescent="0.2">
      <c r="B13" s="162" t="s">
        <v>516</v>
      </c>
      <c r="C13" s="170" t="s">
        <v>520</v>
      </c>
      <c r="D13" s="164">
        <v>211706</v>
      </c>
      <c r="E13" s="165" t="s">
        <v>515</v>
      </c>
      <c r="F13" s="166">
        <v>13362.3</v>
      </c>
      <c r="G13" s="167">
        <v>1640.98</v>
      </c>
      <c r="H13" s="168">
        <f t="shared" si="0"/>
        <v>160347.59999999998</v>
      </c>
    </row>
    <row r="14" spans="2:11" x14ac:dyDescent="0.2">
      <c r="B14" s="162" t="s">
        <v>516</v>
      </c>
      <c r="C14" s="170" t="s">
        <v>521</v>
      </c>
      <c r="D14" s="164">
        <v>211708</v>
      </c>
      <c r="E14" s="165" t="s">
        <v>515</v>
      </c>
      <c r="F14" s="166">
        <v>14670.23</v>
      </c>
      <c r="G14" s="167">
        <v>1801.61</v>
      </c>
      <c r="H14" s="168">
        <f t="shared" si="0"/>
        <v>176042.76</v>
      </c>
    </row>
    <row r="15" spans="2:11" x14ac:dyDescent="0.2">
      <c r="B15" s="162" t="s">
        <v>522</v>
      </c>
      <c r="C15" s="170" t="s">
        <v>523</v>
      </c>
      <c r="D15" s="164">
        <v>211722</v>
      </c>
      <c r="E15" s="165" t="s">
        <v>515</v>
      </c>
      <c r="F15" s="166">
        <v>6892.51</v>
      </c>
      <c r="G15" s="167">
        <v>846.45</v>
      </c>
      <c r="H15" s="168">
        <f t="shared" si="0"/>
        <v>82710.12</v>
      </c>
    </row>
    <row r="16" spans="2:11" x14ac:dyDescent="0.2">
      <c r="B16" s="162" t="s">
        <v>524</v>
      </c>
      <c r="C16" s="170" t="s">
        <v>525</v>
      </c>
      <c r="D16" s="164">
        <v>211711</v>
      </c>
      <c r="E16" s="165" t="s">
        <v>515</v>
      </c>
      <c r="F16" s="166">
        <v>8221.42</v>
      </c>
      <c r="G16" s="167">
        <v>1009.65</v>
      </c>
      <c r="H16" s="168">
        <f t="shared" si="0"/>
        <v>98657.040000000008</v>
      </c>
    </row>
    <row r="17" spans="2:8" x14ac:dyDescent="0.2">
      <c r="B17" s="162" t="s">
        <v>524</v>
      </c>
      <c r="C17" s="170" t="s">
        <v>526</v>
      </c>
      <c r="D17" s="164">
        <v>211712</v>
      </c>
      <c r="E17" s="165" t="s">
        <v>515</v>
      </c>
      <c r="F17" s="166">
        <v>10212.11</v>
      </c>
      <c r="G17" s="167">
        <v>1254.1199999999999</v>
      </c>
      <c r="H17" s="168">
        <f t="shared" si="0"/>
        <v>122545.32</v>
      </c>
    </row>
    <row r="18" spans="2:8" x14ac:dyDescent="0.2">
      <c r="B18" s="162" t="s">
        <v>524</v>
      </c>
      <c r="C18" s="170" t="s">
        <v>527</v>
      </c>
      <c r="D18" s="164">
        <v>211716</v>
      </c>
      <c r="E18" s="165" t="s">
        <v>515</v>
      </c>
      <c r="F18" s="166">
        <v>9227.8799999999992</v>
      </c>
      <c r="G18" s="167">
        <v>1133.25</v>
      </c>
      <c r="H18" s="168">
        <f t="shared" si="0"/>
        <v>110734.56</v>
      </c>
    </row>
    <row r="19" spans="2:8" x14ac:dyDescent="0.2">
      <c r="B19" s="171" t="s">
        <v>528</v>
      </c>
      <c r="C19" s="172" t="s">
        <v>529</v>
      </c>
      <c r="D19" s="164">
        <v>211721</v>
      </c>
      <c r="E19" s="165" t="s">
        <v>515</v>
      </c>
      <c r="F19" s="166">
        <v>12140.7</v>
      </c>
      <c r="G19" s="167">
        <v>1490.96</v>
      </c>
      <c r="H19" s="168">
        <f t="shared" si="0"/>
        <v>145688.40000000002</v>
      </c>
    </row>
    <row r="20" spans="2:8" ht="13.5" thickBot="1" x14ac:dyDescent="0.25">
      <c r="B20" s="173"/>
      <c r="C20" s="174"/>
      <c r="D20" s="175"/>
      <c r="E20" s="176"/>
      <c r="F20" s="177"/>
      <c r="G20" s="178"/>
      <c r="H20" s="155"/>
    </row>
    <row r="24" spans="2:8" ht="13.5" thickBot="1" x14ac:dyDescent="0.25">
      <c r="B24" s="179"/>
      <c r="C24" s="179"/>
      <c r="D24" s="179"/>
      <c r="E24" s="179"/>
      <c r="F24" s="179"/>
      <c r="G24" s="179"/>
      <c r="H24" s="179"/>
    </row>
    <row r="25" spans="2:8" ht="51.75" thickBot="1" x14ac:dyDescent="0.25">
      <c r="B25" s="180" t="s">
        <v>507</v>
      </c>
      <c r="C25" s="181" t="s">
        <v>508</v>
      </c>
      <c r="D25" s="182" t="s">
        <v>509</v>
      </c>
      <c r="E25" s="182" t="s">
        <v>510</v>
      </c>
      <c r="F25" s="182" t="s">
        <v>511</v>
      </c>
      <c r="G25" s="183" t="s">
        <v>512</v>
      </c>
      <c r="H25" s="179"/>
    </row>
    <row r="26" spans="2:8" x14ac:dyDescent="0.2">
      <c r="B26" s="184" t="s">
        <v>530</v>
      </c>
      <c r="C26" s="185" t="s">
        <v>531</v>
      </c>
      <c r="D26" s="186">
        <v>211689</v>
      </c>
      <c r="E26" s="187" t="s">
        <v>515</v>
      </c>
      <c r="F26" s="188">
        <v>5418.79</v>
      </c>
      <c r="G26" s="189">
        <v>665.46</v>
      </c>
      <c r="H26" s="179">
        <f>F26*12</f>
        <v>65025.479999999996</v>
      </c>
    </row>
    <row r="27" spans="2:8" x14ac:dyDescent="0.2">
      <c r="B27" s="184" t="s">
        <v>530</v>
      </c>
      <c r="C27" s="185" t="s">
        <v>532</v>
      </c>
      <c r="D27" s="186">
        <v>211696</v>
      </c>
      <c r="E27" s="187" t="s">
        <v>515</v>
      </c>
      <c r="F27" s="188">
        <v>4954.3900000000003</v>
      </c>
      <c r="G27" s="189">
        <v>608.42999999999995</v>
      </c>
      <c r="H27" s="179">
        <f t="shared" ref="H27:H33" si="1">F27*12</f>
        <v>59452.680000000008</v>
      </c>
    </row>
    <row r="28" spans="2:8" x14ac:dyDescent="0.2">
      <c r="B28" s="184" t="s">
        <v>530</v>
      </c>
      <c r="C28" s="185" t="s">
        <v>533</v>
      </c>
      <c r="D28" s="186">
        <v>211702</v>
      </c>
      <c r="E28" s="187" t="s">
        <v>515</v>
      </c>
      <c r="F28" s="188">
        <v>5163.37</v>
      </c>
      <c r="G28" s="189">
        <v>634.1</v>
      </c>
      <c r="H28" s="179">
        <f t="shared" si="1"/>
        <v>61960.44</v>
      </c>
    </row>
    <row r="29" spans="2:8" x14ac:dyDescent="0.2">
      <c r="B29" s="184" t="s">
        <v>534</v>
      </c>
      <c r="C29" s="185" t="s">
        <v>535</v>
      </c>
      <c r="D29" s="186">
        <v>211705</v>
      </c>
      <c r="E29" s="187" t="s">
        <v>515</v>
      </c>
      <c r="F29" s="188">
        <v>6998.47</v>
      </c>
      <c r="G29" s="189">
        <v>44.66</v>
      </c>
      <c r="H29" s="179">
        <f t="shared" si="1"/>
        <v>83981.64</v>
      </c>
    </row>
    <row r="30" spans="2:8" x14ac:dyDescent="0.2">
      <c r="B30" s="184" t="s">
        <v>536</v>
      </c>
      <c r="C30" s="185" t="s">
        <v>537</v>
      </c>
      <c r="D30" s="186">
        <v>211710</v>
      </c>
      <c r="E30" s="187" t="s">
        <v>515</v>
      </c>
      <c r="F30" s="188">
        <v>2931.11</v>
      </c>
      <c r="G30" s="189">
        <v>40.42</v>
      </c>
      <c r="H30" s="179">
        <f t="shared" si="1"/>
        <v>35173.32</v>
      </c>
    </row>
    <row r="31" spans="2:8" x14ac:dyDescent="0.2">
      <c r="B31" s="184" t="s">
        <v>538</v>
      </c>
      <c r="C31" s="185" t="s">
        <v>539</v>
      </c>
      <c r="D31" s="186">
        <v>211714</v>
      </c>
      <c r="E31" s="187" t="s">
        <v>515</v>
      </c>
      <c r="F31" s="188">
        <v>3684.87</v>
      </c>
      <c r="G31" s="189">
        <v>452.53</v>
      </c>
      <c r="H31" s="179">
        <f t="shared" si="1"/>
        <v>44218.44</v>
      </c>
    </row>
    <row r="32" spans="2:8" x14ac:dyDescent="0.2">
      <c r="B32" s="184" t="s">
        <v>538</v>
      </c>
      <c r="C32" s="185" t="s">
        <v>540</v>
      </c>
      <c r="D32" s="186">
        <v>211718</v>
      </c>
      <c r="E32" s="187" t="s">
        <v>515</v>
      </c>
      <c r="F32" s="188">
        <v>3596.62</v>
      </c>
      <c r="G32" s="189">
        <v>441.69</v>
      </c>
      <c r="H32" s="179">
        <f t="shared" si="1"/>
        <v>43159.44</v>
      </c>
    </row>
    <row r="33" spans="2:8" x14ac:dyDescent="0.2">
      <c r="B33" s="190" t="s">
        <v>538</v>
      </c>
      <c r="C33" s="191" t="s">
        <v>541</v>
      </c>
      <c r="D33" s="186">
        <v>211723</v>
      </c>
      <c r="E33" s="187" t="s">
        <v>515</v>
      </c>
      <c r="F33" s="188">
        <v>3437.09</v>
      </c>
      <c r="G33" s="189">
        <v>422.1</v>
      </c>
      <c r="H33" s="179">
        <f t="shared" si="1"/>
        <v>41245.08</v>
      </c>
    </row>
    <row r="34" spans="2:8" ht="13.5" thickBot="1" x14ac:dyDescent="0.25">
      <c r="B34" s="192"/>
      <c r="C34" s="193"/>
      <c r="D34" s="194"/>
      <c r="E34" s="195"/>
      <c r="F34" s="196"/>
      <c r="G34" s="197"/>
      <c r="H34" s="179"/>
    </row>
    <row r="35" spans="2:8" x14ac:dyDescent="0.2">
      <c r="B35" s="198"/>
      <c r="C35" s="198"/>
      <c r="D35" s="199"/>
      <c r="E35" s="200"/>
      <c r="F35" s="198"/>
      <c r="G35" s="198"/>
      <c r="H35" s="201"/>
    </row>
  </sheetData>
  <customSheetViews>
    <customSheetView guid="{85BAD813-6002-444C-94EE-85A3EFC799A5}" topLeftCell="A7">
      <selection activeCell="K13" sqref="K13"/>
      <pageMargins left="0.7" right="0.7" top="0.75" bottom="0.75" header="0.3" footer="0.3"/>
      <pageSetup paperSize="9" orientation="portrait" r:id="rId1"/>
    </customSheetView>
    <customSheetView guid="{DF69299D-7752-4436-A45D-28F739CEE21B}" topLeftCell="A7">
      <selection activeCell="K13" sqref="K13"/>
      <pageMargins left="0.7" right="0.7" top="0.75" bottom="0.75" header="0.3" footer="0.3"/>
      <pageSetup paperSize="9" orientation="portrait" r:id="rId2"/>
    </customSheetView>
    <customSheetView guid="{6C0BD6A7-6718-429D-82D9-D2FE0341EA2C}" topLeftCell="A7">
      <selection activeCell="K13" sqref="K13"/>
      <pageMargins left="0.7" right="0.7" top="0.75" bottom="0.75" header="0.3" footer="0.3"/>
      <pageSetup paperSize="9" orientation="portrait" r:id="rId3"/>
    </customSheetView>
    <customSheetView guid="{594C4AB0-8D5F-4373-9663-410F4413FE3A}" showPageBreaks="1" topLeftCell="A7">
      <selection activeCell="K13" sqref="K13"/>
      <pageMargins left="0.7" right="0.7" top="0.75" bottom="0.75" header="0.3" footer="0.3"/>
      <pageSetup paperSize="9" orientation="portrait" r:id="rId4"/>
    </customSheetView>
  </customSheetViews>
  <pageMargins left="0.7" right="0.7" top="0.75" bottom="0.75" header="0.3" footer="0.3"/>
  <pageSetup paperSize="9" orientation="portrait"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E199"/>
  <sheetViews>
    <sheetView workbookViewId="0">
      <selection activeCell="C1" sqref="C1"/>
    </sheetView>
  </sheetViews>
  <sheetFormatPr defaultColWidth="9.140625" defaultRowHeight="12" x14ac:dyDescent="0.15"/>
  <cols>
    <col min="1" max="1" width="5.42578125" style="403" bestFit="1" customWidth="1"/>
    <col min="2" max="2" width="16" style="400" customWidth="1"/>
    <col min="3" max="3" width="7" style="400" bestFit="1" customWidth="1"/>
    <col min="4" max="4" width="11.28515625" style="404" bestFit="1" customWidth="1"/>
    <col min="5" max="5" width="12" style="404" bestFit="1" customWidth="1"/>
    <col min="6" max="6" width="13.7109375" style="400" bestFit="1" customWidth="1"/>
    <col min="7" max="16384" width="9.140625" style="400"/>
  </cols>
  <sheetData>
    <row r="1" spans="1:5" x14ac:dyDescent="0.15">
      <c r="A1" s="408" t="s">
        <v>1492</v>
      </c>
      <c r="B1" s="401" t="s">
        <v>1493</v>
      </c>
      <c r="C1" s="401" t="s">
        <v>1494</v>
      </c>
      <c r="D1" s="402" t="s">
        <v>291</v>
      </c>
    </row>
    <row r="2" spans="1:5" x14ac:dyDescent="0.15">
      <c r="A2" s="403">
        <v>601</v>
      </c>
      <c r="B2" s="403">
        <v>11</v>
      </c>
      <c r="C2" s="403">
        <v>1231</v>
      </c>
      <c r="D2" s="404">
        <v>8826.64</v>
      </c>
      <c r="E2" s="404">
        <f>+D2*2</f>
        <v>17653.28</v>
      </c>
    </row>
    <row r="3" spans="1:5" x14ac:dyDescent="0.15">
      <c r="A3" s="403">
        <v>360</v>
      </c>
      <c r="B3" s="403">
        <v>258</v>
      </c>
      <c r="C3" s="403">
        <v>3301</v>
      </c>
      <c r="D3" s="404">
        <v>12353.75</v>
      </c>
      <c r="E3" s="404">
        <f t="shared" ref="E3:E66" si="0">+D3*2</f>
        <v>24707.5</v>
      </c>
    </row>
    <row r="4" spans="1:5" x14ac:dyDescent="0.15">
      <c r="A4" s="409" t="s">
        <v>303</v>
      </c>
      <c r="B4" s="405">
        <v>11</v>
      </c>
      <c r="C4" s="405">
        <v>1231</v>
      </c>
      <c r="D4" s="406">
        <v>10466.760234941759</v>
      </c>
      <c r="E4" s="404">
        <f t="shared" si="0"/>
        <v>20933.520469883519</v>
      </c>
    </row>
    <row r="5" spans="1:5" x14ac:dyDescent="0.15">
      <c r="A5" s="409" t="s">
        <v>303</v>
      </c>
      <c r="B5" s="403">
        <v>12</v>
      </c>
      <c r="C5" s="403">
        <v>3301</v>
      </c>
      <c r="D5" s="404">
        <v>8133.408597962416</v>
      </c>
      <c r="E5" s="404">
        <f t="shared" si="0"/>
        <v>16266.817195924832</v>
      </c>
    </row>
    <row r="6" spans="1:5" x14ac:dyDescent="0.15">
      <c r="A6" s="409" t="s">
        <v>307</v>
      </c>
      <c r="B6" s="405">
        <v>11</v>
      </c>
      <c r="C6" s="405">
        <v>1231</v>
      </c>
      <c r="D6" s="406">
        <v>10225.931772363818</v>
      </c>
      <c r="E6" s="404">
        <f t="shared" si="0"/>
        <v>20451.863544727636</v>
      </c>
    </row>
    <row r="7" spans="1:5" x14ac:dyDescent="0.15">
      <c r="A7" s="409" t="s">
        <v>307</v>
      </c>
      <c r="B7" s="403">
        <v>12</v>
      </c>
      <c r="C7" s="403">
        <v>3301</v>
      </c>
      <c r="D7" s="404">
        <v>7946.2679504078396</v>
      </c>
      <c r="E7" s="404">
        <f t="shared" si="0"/>
        <v>15892.535900815679</v>
      </c>
    </row>
    <row r="8" spans="1:5" x14ac:dyDescent="0.15">
      <c r="A8" s="409" t="s">
        <v>309</v>
      </c>
      <c r="B8" s="405">
        <v>11</v>
      </c>
      <c r="C8" s="405">
        <v>1231</v>
      </c>
      <c r="D8" s="406">
        <v>10225.931772363818</v>
      </c>
      <c r="E8" s="404">
        <f t="shared" si="0"/>
        <v>20451.863544727636</v>
      </c>
    </row>
    <row r="9" spans="1:5" x14ac:dyDescent="0.15">
      <c r="A9" s="409" t="s">
        <v>309</v>
      </c>
      <c r="B9" s="403">
        <v>12</v>
      </c>
      <c r="C9" s="403">
        <v>3301</v>
      </c>
      <c r="D9" s="404">
        <v>7946.2679504078396</v>
      </c>
      <c r="E9" s="404">
        <f t="shared" si="0"/>
        <v>15892.535900815679</v>
      </c>
    </row>
    <row r="10" spans="1:5" x14ac:dyDescent="0.15">
      <c r="A10" s="409" t="s">
        <v>311</v>
      </c>
      <c r="B10" s="405">
        <v>11</v>
      </c>
      <c r="C10" s="405">
        <v>1231</v>
      </c>
      <c r="D10" s="406">
        <v>10225.931772363818</v>
      </c>
      <c r="E10" s="404">
        <f t="shared" si="0"/>
        <v>20451.863544727636</v>
      </c>
    </row>
    <row r="11" spans="1:5" x14ac:dyDescent="0.15">
      <c r="A11" s="409" t="s">
        <v>311</v>
      </c>
      <c r="B11" s="403">
        <v>12</v>
      </c>
      <c r="C11" s="403">
        <v>3301</v>
      </c>
      <c r="D11" s="404">
        <v>7946.2679504078396</v>
      </c>
      <c r="E11" s="404">
        <f t="shared" si="0"/>
        <v>15892.535900815679</v>
      </c>
    </row>
    <row r="12" spans="1:5" x14ac:dyDescent="0.15">
      <c r="A12" s="409" t="s">
        <v>326</v>
      </c>
      <c r="B12" s="405">
        <v>11</v>
      </c>
      <c r="C12" s="405">
        <v>1231</v>
      </c>
      <c r="D12" s="406">
        <v>10225.931772363818</v>
      </c>
      <c r="E12" s="404">
        <f t="shared" si="0"/>
        <v>20451.863544727636</v>
      </c>
    </row>
    <row r="13" spans="1:5" x14ac:dyDescent="0.15">
      <c r="A13" s="409" t="s">
        <v>326</v>
      </c>
      <c r="B13" s="403">
        <v>12</v>
      </c>
      <c r="C13" s="403">
        <v>3301</v>
      </c>
      <c r="D13" s="404">
        <v>7946.2679504078396</v>
      </c>
      <c r="E13" s="404">
        <f t="shared" si="0"/>
        <v>15892.535900815679</v>
      </c>
    </row>
    <row r="14" spans="1:5" x14ac:dyDescent="0.15">
      <c r="A14" s="409" t="s">
        <v>403</v>
      </c>
      <c r="B14" s="405">
        <v>11</v>
      </c>
      <c r="C14" s="405">
        <v>1231</v>
      </c>
      <c r="D14" s="406">
        <v>10225.931772363818</v>
      </c>
      <c r="E14" s="404">
        <f t="shared" si="0"/>
        <v>20451.863544727636</v>
      </c>
    </row>
    <row r="15" spans="1:5" x14ac:dyDescent="0.15">
      <c r="A15" s="409" t="s">
        <v>403</v>
      </c>
      <c r="B15" s="403">
        <v>12</v>
      </c>
      <c r="C15" s="403">
        <v>3301</v>
      </c>
      <c r="D15" s="404">
        <v>7946.2679504078396</v>
      </c>
      <c r="E15" s="404">
        <f t="shared" si="0"/>
        <v>15892.535900815679</v>
      </c>
    </row>
    <row r="16" spans="1:5" x14ac:dyDescent="0.15">
      <c r="A16" s="409" t="s">
        <v>316</v>
      </c>
      <c r="B16" s="405">
        <v>11</v>
      </c>
      <c r="C16" s="405">
        <v>1231</v>
      </c>
      <c r="D16" s="406">
        <v>9790.6340541931149</v>
      </c>
      <c r="E16" s="404">
        <f t="shared" si="0"/>
        <v>19581.26810838623</v>
      </c>
    </row>
    <row r="17" spans="1:5" x14ac:dyDescent="0.15">
      <c r="A17" s="409" t="s">
        <v>316</v>
      </c>
      <c r="B17" s="403">
        <v>12</v>
      </c>
      <c r="C17" s="403">
        <v>3301</v>
      </c>
      <c r="D17" s="404">
        <v>7608.01101854236</v>
      </c>
      <c r="E17" s="404">
        <f t="shared" si="0"/>
        <v>15216.02203708472</v>
      </c>
    </row>
    <row r="18" spans="1:5" x14ac:dyDescent="0.15">
      <c r="A18" s="409" t="s">
        <v>319</v>
      </c>
      <c r="B18" s="405">
        <v>11</v>
      </c>
      <c r="C18" s="405">
        <v>1231</v>
      </c>
      <c r="D18" s="406">
        <v>9790.6340541931149</v>
      </c>
      <c r="E18" s="404">
        <f t="shared" si="0"/>
        <v>19581.26810838623</v>
      </c>
    </row>
    <row r="19" spans="1:5" x14ac:dyDescent="0.15">
      <c r="A19" s="409" t="s">
        <v>319</v>
      </c>
      <c r="B19" s="403">
        <v>12</v>
      </c>
      <c r="C19" s="403">
        <v>3301</v>
      </c>
      <c r="D19" s="404">
        <v>7608.01101854236</v>
      </c>
      <c r="E19" s="404">
        <f t="shared" si="0"/>
        <v>15216.02203708472</v>
      </c>
    </row>
    <row r="20" spans="1:5" x14ac:dyDescent="0.15">
      <c r="A20" s="409" t="s">
        <v>320</v>
      </c>
      <c r="B20" s="405">
        <v>11</v>
      </c>
      <c r="C20" s="405">
        <v>1231</v>
      </c>
      <c r="D20" s="406">
        <v>9790.6340541931149</v>
      </c>
      <c r="E20" s="404">
        <f t="shared" si="0"/>
        <v>19581.26810838623</v>
      </c>
    </row>
    <row r="21" spans="1:5" x14ac:dyDescent="0.15">
      <c r="A21" s="409" t="s">
        <v>320</v>
      </c>
      <c r="B21" s="403">
        <v>12</v>
      </c>
      <c r="C21" s="403">
        <v>3301</v>
      </c>
      <c r="D21" s="404">
        <v>7608.01101854236</v>
      </c>
      <c r="E21" s="404">
        <f t="shared" si="0"/>
        <v>15216.02203708472</v>
      </c>
    </row>
    <row r="22" spans="1:5" x14ac:dyDescent="0.15">
      <c r="A22" s="409" t="s">
        <v>322</v>
      </c>
      <c r="B22" s="405">
        <v>11</v>
      </c>
      <c r="C22" s="405">
        <v>1231</v>
      </c>
      <c r="D22" s="406">
        <v>9790.6340541931149</v>
      </c>
      <c r="E22" s="404">
        <f t="shared" si="0"/>
        <v>19581.26810838623</v>
      </c>
    </row>
    <row r="23" spans="1:5" x14ac:dyDescent="0.15">
      <c r="A23" s="409" t="s">
        <v>322</v>
      </c>
      <c r="B23" s="403">
        <v>12</v>
      </c>
      <c r="C23" s="403">
        <v>3301</v>
      </c>
      <c r="D23" s="404">
        <v>7608.01101854236</v>
      </c>
      <c r="E23" s="404">
        <f t="shared" si="0"/>
        <v>15216.02203708472</v>
      </c>
    </row>
    <row r="24" spans="1:5" x14ac:dyDescent="0.15">
      <c r="A24" s="409" t="s">
        <v>324</v>
      </c>
      <c r="B24" s="405">
        <v>11</v>
      </c>
      <c r="C24" s="405">
        <v>1231</v>
      </c>
      <c r="D24" s="406">
        <v>9790.6340541931149</v>
      </c>
      <c r="E24" s="404">
        <f t="shared" si="0"/>
        <v>19581.26810838623</v>
      </c>
    </row>
    <row r="25" spans="1:5" x14ac:dyDescent="0.15">
      <c r="A25" s="409" t="s">
        <v>324</v>
      </c>
      <c r="B25" s="403">
        <v>12</v>
      </c>
      <c r="C25" s="403">
        <v>3301</v>
      </c>
      <c r="D25" s="404">
        <v>7608.01101854236</v>
      </c>
      <c r="E25" s="404">
        <f t="shared" si="0"/>
        <v>15216.02203708472</v>
      </c>
    </row>
    <row r="26" spans="1:5" x14ac:dyDescent="0.15">
      <c r="A26" s="409" t="s">
        <v>325</v>
      </c>
      <c r="B26" s="405">
        <v>11</v>
      </c>
      <c r="C26" s="405">
        <v>1231</v>
      </c>
      <c r="D26" s="406">
        <v>9790.6340541931149</v>
      </c>
      <c r="E26" s="404">
        <f t="shared" si="0"/>
        <v>19581.26810838623</v>
      </c>
    </row>
    <row r="27" spans="1:5" x14ac:dyDescent="0.15">
      <c r="A27" s="409" t="s">
        <v>325</v>
      </c>
      <c r="B27" s="403">
        <v>12</v>
      </c>
      <c r="C27" s="403">
        <v>3301</v>
      </c>
      <c r="D27" s="404">
        <v>7608.01101854236</v>
      </c>
      <c r="E27" s="404">
        <f t="shared" si="0"/>
        <v>15216.02203708472</v>
      </c>
    </row>
    <row r="28" spans="1:5" x14ac:dyDescent="0.15">
      <c r="A28" s="409" t="s">
        <v>328</v>
      </c>
      <c r="B28" s="405">
        <v>11</v>
      </c>
      <c r="C28" s="405">
        <v>1231</v>
      </c>
      <c r="D28" s="406">
        <v>9790.6340541931149</v>
      </c>
      <c r="E28" s="404">
        <f t="shared" si="0"/>
        <v>19581.26810838623</v>
      </c>
    </row>
    <row r="29" spans="1:5" x14ac:dyDescent="0.15">
      <c r="A29" s="409" t="s">
        <v>328</v>
      </c>
      <c r="B29" s="403">
        <v>12</v>
      </c>
      <c r="C29" s="403">
        <v>3301</v>
      </c>
      <c r="D29" s="404">
        <v>7608.01101854236</v>
      </c>
      <c r="E29" s="404">
        <f t="shared" si="0"/>
        <v>15216.02203708472</v>
      </c>
    </row>
    <row r="30" spans="1:5" x14ac:dyDescent="0.15">
      <c r="A30" s="409" t="s">
        <v>386</v>
      </c>
      <c r="B30" s="405">
        <v>11</v>
      </c>
      <c r="C30" s="405">
        <v>1231</v>
      </c>
      <c r="D30" s="406">
        <v>9790.6340541931149</v>
      </c>
      <c r="E30" s="404">
        <f t="shared" si="0"/>
        <v>19581.26810838623</v>
      </c>
    </row>
    <row r="31" spans="1:5" x14ac:dyDescent="0.15">
      <c r="A31" s="409" t="s">
        <v>386</v>
      </c>
      <c r="B31" s="403">
        <v>12</v>
      </c>
      <c r="C31" s="403">
        <v>3301</v>
      </c>
      <c r="D31" s="404">
        <v>7608.01101854236</v>
      </c>
      <c r="E31" s="404">
        <f t="shared" si="0"/>
        <v>15216.02203708472</v>
      </c>
    </row>
    <row r="32" spans="1:5" x14ac:dyDescent="0.15">
      <c r="A32" s="409" t="s">
        <v>388</v>
      </c>
      <c r="B32" s="405">
        <v>11</v>
      </c>
      <c r="C32" s="405">
        <v>1231</v>
      </c>
      <c r="D32" s="406">
        <v>9790.6340541931149</v>
      </c>
      <c r="E32" s="404">
        <f t="shared" si="0"/>
        <v>19581.26810838623</v>
      </c>
    </row>
    <row r="33" spans="1:5" x14ac:dyDescent="0.15">
      <c r="A33" s="409" t="s">
        <v>388</v>
      </c>
      <c r="B33" s="403">
        <v>12</v>
      </c>
      <c r="C33" s="403">
        <v>3301</v>
      </c>
      <c r="D33" s="404">
        <v>7608.01101854236</v>
      </c>
      <c r="E33" s="404">
        <f t="shared" si="0"/>
        <v>15216.02203708472</v>
      </c>
    </row>
    <row r="34" spans="1:5" x14ac:dyDescent="0.15">
      <c r="A34" s="409" t="s">
        <v>390</v>
      </c>
      <c r="B34" s="405">
        <v>11</v>
      </c>
      <c r="C34" s="405">
        <v>1231</v>
      </c>
      <c r="D34" s="406">
        <v>9790.6340541931149</v>
      </c>
      <c r="E34" s="404">
        <f t="shared" si="0"/>
        <v>19581.26810838623</v>
      </c>
    </row>
    <row r="35" spans="1:5" x14ac:dyDescent="0.15">
      <c r="A35" s="409" t="s">
        <v>390</v>
      </c>
      <c r="B35" s="403">
        <v>12</v>
      </c>
      <c r="C35" s="403">
        <v>3301</v>
      </c>
      <c r="D35" s="404">
        <v>7608.01101854236</v>
      </c>
      <c r="E35" s="404">
        <f t="shared" si="0"/>
        <v>15216.02203708472</v>
      </c>
    </row>
    <row r="36" spans="1:5" x14ac:dyDescent="0.15">
      <c r="A36" s="409" t="s">
        <v>392</v>
      </c>
      <c r="B36" s="405">
        <v>11</v>
      </c>
      <c r="C36" s="405">
        <v>1231</v>
      </c>
      <c r="D36" s="406">
        <v>9790.6340541931149</v>
      </c>
      <c r="E36" s="404">
        <f t="shared" si="0"/>
        <v>19581.26810838623</v>
      </c>
    </row>
    <row r="37" spans="1:5" x14ac:dyDescent="0.15">
      <c r="A37" s="409" t="s">
        <v>392</v>
      </c>
      <c r="B37" s="403">
        <v>12</v>
      </c>
      <c r="C37" s="403">
        <v>3301</v>
      </c>
      <c r="D37" s="404">
        <v>7608.01101854236</v>
      </c>
      <c r="E37" s="404">
        <f t="shared" si="0"/>
        <v>15216.02203708472</v>
      </c>
    </row>
    <row r="38" spans="1:5" x14ac:dyDescent="0.15">
      <c r="A38" s="409" t="s">
        <v>405</v>
      </c>
      <c r="B38" s="405">
        <v>11</v>
      </c>
      <c r="C38" s="405">
        <v>1231</v>
      </c>
      <c r="D38" s="406">
        <v>9790.6340541931149</v>
      </c>
      <c r="E38" s="404">
        <f t="shared" si="0"/>
        <v>19581.26810838623</v>
      </c>
    </row>
    <row r="39" spans="1:5" x14ac:dyDescent="0.15">
      <c r="A39" s="409" t="s">
        <v>405</v>
      </c>
      <c r="B39" s="403">
        <v>12</v>
      </c>
      <c r="C39" s="403">
        <v>3301</v>
      </c>
      <c r="D39" s="404">
        <v>7608.01101854236</v>
      </c>
      <c r="E39" s="404">
        <f t="shared" si="0"/>
        <v>15216.02203708472</v>
      </c>
    </row>
    <row r="40" spans="1:5" x14ac:dyDescent="0.15">
      <c r="A40" s="409" t="s">
        <v>407</v>
      </c>
      <c r="B40" s="405">
        <v>11</v>
      </c>
      <c r="C40" s="405">
        <v>1231</v>
      </c>
      <c r="D40" s="406">
        <v>9790.6340541931149</v>
      </c>
      <c r="E40" s="404">
        <f t="shared" si="0"/>
        <v>19581.26810838623</v>
      </c>
    </row>
    <row r="41" spans="1:5" x14ac:dyDescent="0.15">
      <c r="A41" s="409" t="s">
        <v>407</v>
      </c>
      <c r="B41" s="403">
        <v>12</v>
      </c>
      <c r="C41" s="403">
        <v>3301</v>
      </c>
      <c r="D41" s="404">
        <v>7608.01101854236</v>
      </c>
      <c r="E41" s="404">
        <f t="shared" si="0"/>
        <v>15216.02203708472</v>
      </c>
    </row>
    <row r="42" spans="1:5" x14ac:dyDescent="0.15">
      <c r="A42" s="409" t="s">
        <v>409</v>
      </c>
      <c r="B42" s="405">
        <v>11</v>
      </c>
      <c r="C42" s="405">
        <v>1231</v>
      </c>
      <c r="D42" s="406">
        <v>9790.6340541931149</v>
      </c>
      <c r="E42" s="404">
        <f t="shared" si="0"/>
        <v>19581.26810838623</v>
      </c>
    </row>
    <row r="43" spans="1:5" x14ac:dyDescent="0.15">
      <c r="A43" s="409" t="s">
        <v>409</v>
      </c>
      <c r="B43" s="403">
        <v>12</v>
      </c>
      <c r="C43" s="403">
        <v>3301</v>
      </c>
      <c r="D43" s="404">
        <v>7608.01101854236</v>
      </c>
      <c r="E43" s="404">
        <f t="shared" si="0"/>
        <v>15216.02203708472</v>
      </c>
    </row>
    <row r="44" spans="1:5" x14ac:dyDescent="0.15">
      <c r="A44" s="409" t="s">
        <v>411</v>
      </c>
      <c r="B44" s="405">
        <v>11</v>
      </c>
      <c r="C44" s="405">
        <v>1231</v>
      </c>
      <c r="D44" s="406">
        <v>9790.6340541931149</v>
      </c>
      <c r="E44" s="404">
        <f t="shared" si="0"/>
        <v>19581.26810838623</v>
      </c>
    </row>
    <row r="45" spans="1:5" x14ac:dyDescent="0.15">
      <c r="A45" s="409" t="s">
        <v>411</v>
      </c>
      <c r="B45" s="403">
        <v>12</v>
      </c>
      <c r="C45" s="403">
        <v>3301</v>
      </c>
      <c r="D45" s="404">
        <v>7608.01101854236</v>
      </c>
      <c r="E45" s="404">
        <f t="shared" si="0"/>
        <v>15216.02203708472</v>
      </c>
    </row>
    <row r="46" spans="1:5" x14ac:dyDescent="0.15">
      <c r="A46" s="409" t="s">
        <v>419</v>
      </c>
      <c r="B46" s="405">
        <v>11</v>
      </c>
      <c r="C46" s="405">
        <v>1231</v>
      </c>
      <c r="D46" s="406">
        <v>9790.6340541931149</v>
      </c>
      <c r="E46" s="404">
        <f t="shared" si="0"/>
        <v>19581.26810838623</v>
      </c>
    </row>
    <row r="47" spans="1:5" x14ac:dyDescent="0.15">
      <c r="A47" s="409" t="s">
        <v>419</v>
      </c>
      <c r="B47" s="403">
        <v>12</v>
      </c>
      <c r="C47" s="403">
        <v>3301</v>
      </c>
      <c r="D47" s="404">
        <v>7608.01101854236</v>
      </c>
      <c r="E47" s="404">
        <f t="shared" si="0"/>
        <v>15216.02203708472</v>
      </c>
    </row>
    <row r="48" spans="1:5" x14ac:dyDescent="0.15">
      <c r="A48" s="409" t="s">
        <v>421</v>
      </c>
      <c r="B48" s="405">
        <v>11</v>
      </c>
      <c r="C48" s="405">
        <v>1231</v>
      </c>
      <c r="D48" s="406">
        <v>9790.6340541931149</v>
      </c>
      <c r="E48" s="404">
        <f t="shared" si="0"/>
        <v>19581.26810838623</v>
      </c>
    </row>
    <row r="49" spans="1:5" x14ac:dyDescent="0.15">
      <c r="A49" s="409" t="s">
        <v>421</v>
      </c>
      <c r="B49" s="403">
        <v>12</v>
      </c>
      <c r="C49" s="403">
        <v>3301</v>
      </c>
      <c r="D49" s="404">
        <v>7608.01101854236</v>
      </c>
      <c r="E49" s="404">
        <f t="shared" si="0"/>
        <v>15216.02203708472</v>
      </c>
    </row>
    <row r="50" spans="1:5" x14ac:dyDescent="0.15">
      <c r="A50" s="409" t="s">
        <v>423</v>
      </c>
      <c r="B50" s="405">
        <v>11</v>
      </c>
      <c r="C50" s="405">
        <v>1231</v>
      </c>
      <c r="D50" s="406">
        <v>9790.6340541931149</v>
      </c>
      <c r="E50" s="404">
        <f t="shared" si="0"/>
        <v>19581.26810838623</v>
      </c>
    </row>
    <row r="51" spans="1:5" x14ac:dyDescent="0.15">
      <c r="A51" s="409" t="s">
        <v>423</v>
      </c>
      <c r="B51" s="403">
        <v>12</v>
      </c>
      <c r="C51" s="403">
        <v>3301</v>
      </c>
      <c r="D51" s="404">
        <v>7608.01101854236</v>
      </c>
      <c r="E51" s="404">
        <f t="shared" si="0"/>
        <v>15216.02203708472</v>
      </c>
    </row>
    <row r="52" spans="1:5" x14ac:dyDescent="0.15">
      <c r="A52" s="409" t="s">
        <v>425</v>
      </c>
      <c r="B52" s="405">
        <v>11</v>
      </c>
      <c r="C52" s="405">
        <v>1231</v>
      </c>
      <c r="D52" s="406">
        <v>9790.6340541931149</v>
      </c>
      <c r="E52" s="404">
        <f t="shared" si="0"/>
        <v>19581.26810838623</v>
      </c>
    </row>
    <row r="53" spans="1:5" x14ac:dyDescent="0.15">
      <c r="A53" s="409" t="s">
        <v>425</v>
      </c>
      <c r="B53" s="403">
        <v>12</v>
      </c>
      <c r="C53" s="403">
        <v>3301</v>
      </c>
      <c r="D53" s="404">
        <v>7608.01101854236</v>
      </c>
      <c r="E53" s="404">
        <f t="shared" si="0"/>
        <v>15216.02203708472</v>
      </c>
    </row>
    <row r="54" spans="1:5" x14ac:dyDescent="0.15">
      <c r="A54" s="409" t="s">
        <v>427</v>
      </c>
      <c r="B54" s="405">
        <v>11</v>
      </c>
      <c r="C54" s="405">
        <v>1231</v>
      </c>
      <c r="D54" s="406">
        <v>9790.6340541931149</v>
      </c>
      <c r="E54" s="404">
        <f t="shared" si="0"/>
        <v>19581.26810838623</v>
      </c>
    </row>
    <row r="55" spans="1:5" x14ac:dyDescent="0.15">
      <c r="A55" s="409" t="s">
        <v>427</v>
      </c>
      <c r="B55" s="403">
        <v>12</v>
      </c>
      <c r="C55" s="403">
        <v>3301</v>
      </c>
      <c r="D55" s="404">
        <v>7608.01101854236</v>
      </c>
      <c r="E55" s="404">
        <f t="shared" si="0"/>
        <v>15216.02203708472</v>
      </c>
    </row>
    <row r="56" spans="1:5" x14ac:dyDescent="0.15">
      <c r="A56" s="409" t="s">
        <v>330</v>
      </c>
      <c r="B56" s="405">
        <v>11</v>
      </c>
      <c r="C56" s="405">
        <v>1231</v>
      </c>
      <c r="D56" s="406">
        <v>15191.366797735376</v>
      </c>
      <c r="E56" s="404">
        <f t="shared" si="0"/>
        <v>30382.733595470752</v>
      </c>
    </row>
    <row r="57" spans="1:5" x14ac:dyDescent="0.15">
      <c r="A57" s="409" t="s">
        <v>330</v>
      </c>
      <c r="B57" s="403">
        <v>12</v>
      </c>
      <c r="C57" s="403">
        <v>3301</v>
      </c>
      <c r="D57" s="404">
        <v>11804.760074184429</v>
      </c>
      <c r="E57" s="404">
        <f t="shared" si="0"/>
        <v>23609.520148368858</v>
      </c>
    </row>
    <row r="58" spans="1:5" x14ac:dyDescent="0.15">
      <c r="A58" s="409" t="s">
        <v>260</v>
      </c>
      <c r="B58" s="405">
        <v>11</v>
      </c>
      <c r="C58" s="405">
        <v>1231</v>
      </c>
      <c r="D58" s="406">
        <v>15191.366797735376</v>
      </c>
      <c r="E58" s="404">
        <f t="shared" si="0"/>
        <v>30382.733595470752</v>
      </c>
    </row>
    <row r="59" spans="1:5" x14ac:dyDescent="0.15">
      <c r="A59" s="409" t="s">
        <v>260</v>
      </c>
      <c r="B59" s="403">
        <v>12</v>
      </c>
      <c r="C59" s="403">
        <v>3301</v>
      </c>
      <c r="D59" s="404">
        <v>11804.760074184429</v>
      </c>
      <c r="E59" s="404">
        <f t="shared" si="0"/>
        <v>23609.520148368858</v>
      </c>
    </row>
    <row r="60" spans="1:5" x14ac:dyDescent="0.15">
      <c r="A60" s="409" t="s">
        <v>261</v>
      </c>
      <c r="B60" s="405">
        <v>11</v>
      </c>
      <c r="C60" s="405">
        <v>1231</v>
      </c>
      <c r="D60" s="406">
        <v>15191.366797735376</v>
      </c>
      <c r="E60" s="404">
        <f t="shared" si="0"/>
        <v>30382.733595470752</v>
      </c>
    </row>
    <row r="61" spans="1:5" x14ac:dyDescent="0.15">
      <c r="A61" s="409" t="s">
        <v>261</v>
      </c>
      <c r="B61" s="403">
        <v>12</v>
      </c>
      <c r="C61" s="403">
        <v>3301</v>
      </c>
      <c r="D61" s="404">
        <v>11804.760074184429</v>
      </c>
      <c r="E61" s="404">
        <f t="shared" si="0"/>
        <v>23609.520148368858</v>
      </c>
    </row>
    <row r="62" spans="1:5" x14ac:dyDescent="0.15">
      <c r="A62" s="409" t="s">
        <v>262</v>
      </c>
      <c r="B62" s="405">
        <v>11</v>
      </c>
      <c r="C62" s="405">
        <v>1231</v>
      </c>
      <c r="D62" s="406">
        <v>15191.366797735376</v>
      </c>
      <c r="E62" s="404">
        <f t="shared" si="0"/>
        <v>30382.733595470752</v>
      </c>
    </row>
    <row r="63" spans="1:5" x14ac:dyDescent="0.15">
      <c r="A63" s="409" t="s">
        <v>262</v>
      </c>
      <c r="B63" s="403">
        <v>12</v>
      </c>
      <c r="C63" s="403">
        <v>3301</v>
      </c>
      <c r="D63" s="404">
        <v>11804.760074184429</v>
      </c>
      <c r="E63" s="404">
        <f t="shared" si="0"/>
        <v>23609.520148368858</v>
      </c>
    </row>
    <row r="64" spans="1:5" x14ac:dyDescent="0.15">
      <c r="A64" s="409" t="s">
        <v>263</v>
      </c>
      <c r="B64" s="405">
        <v>11</v>
      </c>
      <c r="C64" s="405">
        <v>1231</v>
      </c>
      <c r="D64" s="406">
        <v>15191.366797735376</v>
      </c>
      <c r="E64" s="404">
        <f t="shared" si="0"/>
        <v>30382.733595470752</v>
      </c>
    </row>
    <row r="65" spans="1:5" x14ac:dyDescent="0.15">
      <c r="A65" s="409" t="s">
        <v>263</v>
      </c>
      <c r="B65" s="403">
        <v>12</v>
      </c>
      <c r="C65" s="403">
        <v>3301</v>
      </c>
      <c r="D65" s="404">
        <v>11804.760074184429</v>
      </c>
      <c r="E65" s="404">
        <f t="shared" si="0"/>
        <v>23609.520148368858</v>
      </c>
    </row>
    <row r="66" spans="1:5" x14ac:dyDescent="0.15">
      <c r="A66" s="409" t="s">
        <v>264</v>
      </c>
      <c r="B66" s="405">
        <v>11</v>
      </c>
      <c r="C66" s="405">
        <v>1231</v>
      </c>
      <c r="D66" s="406">
        <v>15191.366797735376</v>
      </c>
      <c r="E66" s="404">
        <f t="shared" si="0"/>
        <v>30382.733595470752</v>
      </c>
    </row>
    <row r="67" spans="1:5" x14ac:dyDescent="0.15">
      <c r="A67" s="409" t="s">
        <v>264</v>
      </c>
      <c r="B67" s="403">
        <v>12</v>
      </c>
      <c r="C67" s="403">
        <v>3301</v>
      </c>
      <c r="D67" s="404">
        <v>11804.760074184429</v>
      </c>
      <c r="E67" s="404">
        <f t="shared" ref="E67:E130" si="1">+D67*2</f>
        <v>23609.520148368858</v>
      </c>
    </row>
    <row r="68" spans="1:5" x14ac:dyDescent="0.15">
      <c r="A68" s="409" t="s">
        <v>265</v>
      </c>
      <c r="B68" s="405">
        <v>11</v>
      </c>
      <c r="C68" s="405">
        <v>1231</v>
      </c>
      <c r="D68" s="406">
        <v>15191.366797735376</v>
      </c>
      <c r="E68" s="404">
        <f t="shared" si="1"/>
        <v>30382.733595470752</v>
      </c>
    </row>
    <row r="69" spans="1:5" x14ac:dyDescent="0.15">
      <c r="A69" s="409" t="s">
        <v>265</v>
      </c>
      <c r="B69" s="403">
        <v>12</v>
      </c>
      <c r="C69" s="403">
        <v>3301</v>
      </c>
      <c r="D69" s="404">
        <v>11804.760074184429</v>
      </c>
      <c r="E69" s="404">
        <f t="shared" si="1"/>
        <v>23609.520148368858</v>
      </c>
    </row>
    <row r="70" spans="1:5" x14ac:dyDescent="0.15">
      <c r="A70" s="409" t="s">
        <v>266</v>
      </c>
      <c r="B70" s="405">
        <v>11</v>
      </c>
      <c r="C70" s="405">
        <v>1231</v>
      </c>
      <c r="D70" s="406">
        <v>15191.366797735376</v>
      </c>
      <c r="E70" s="404">
        <f t="shared" si="1"/>
        <v>30382.733595470752</v>
      </c>
    </row>
    <row r="71" spans="1:5" x14ac:dyDescent="0.15">
      <c r="A71" s="409" t="s">
        <v>266</v>
      </c>
      <c r="B71" s="403">
        <v>12</v>
      </c>
      <c r="C71" s="403">
        <v>3301</v>
      </c>
      <c r="D71" s="404">
        <v>11804.760074184429</v>
      </c>
      <c r="E71" s="404">
        <f t="shared" si="1"/>
        <v>23609.520148368858</v>
      </c>
    </row>
    <row r="72" spans="1:5" x14ac:dyDescent="0.15">
      <c r="A72" s="409" t="s">
        <v>267</v>
      </c>
      <c r="B72" s="405">
        <v>11</v>
      </c>
      <c r="C72" s="405">
        <v>1231</v>
      </c>
      <c r="D72" s="406">
        <v>15191.366797735376</v>
      </c>
      <c r="E72" s="404">
        <f t="shared" si="1"/>
        <v>30382.733595470752</v>
      </c>
    </row>
    <row r="73" spans="1:5" x14ac:dyDescent="0.15">
      <c r="A73" s="409" t="s">
        <v>267</v>
      </c>
      <c r="B73" s="403">
        <v>12</v>
      </c>
      <c r="C73" s="403">
        <v>3301</v>
      </c>
      <c r="D73" s="404">
        <v>11804.760074184429</v>
      </c>
      <c r="E73" s="404">
        <f t="shared" si="1"/>
        <v>23609.520148368858</v>
      </c>
    </row>
    <row r="74" spans="1:5" x14ac:dyDescent="0.15">
      <c r="A74" s="409" t="s">
        <v>268</v>
      </c>
      <c r="B74" s="405">
        <v>11</v>
      </c>
      <c r="C74" s="405">
        <v>1231</v>
      </c>
      <c r="D74" s="406">
        <v>15191.366797735376</v>
      </c>
      <c r="E74" s="404">
        <f t="shared" si="1"/>
        <v>30382.733595470752</v>
      </c>
    </row>
    <row r="75" spans="1:5" x14ac:dyDescent="0.15">
      <c r="A75" s="409" t="s">
        <v>268</v>
      </c>
      <c r="B75" s="403">
        <v>12</v>
      </c>
      <c r="C75" s="403">
        <v>3301</v>
      </c>
      <c r="D75" s="404">
        <v>11804.760074184429</v>
      </c>
      <c r="E75" s="404">
        <f t="shared" si="1"/>
        <v>23609.520148368858</v>
      </c>
    </row>
    <row r="76" spans="1:5" x14ac:dyDescent="0.15">
      <c r="A76" s="409" t="s">
        <v>269</v>
      </c>
      <c r="B76" s="405">
        <v>11</v>
      </c>
      <c r="C76" s="405">
        <v>1231</v>
      </c>
      <c r="D76" s="406">
        <v>15191.366797735376</v>
      </c>
      <c r="E76" s="404">
        <f t="shared" si="1"/>
        <v>30382.733595470752</v>
      </c>
    </row>
    <row r="77" spans="1:5" x14ac:dyDescent="0.15">
      <c r="A77" s="409" t="s">
        <v>269</v>
      </c>
      <c r="B77" s="403">
        <v>12</v>
      </c>
      <c r="C77" s="403">
        <v>3301</v>
      </c>
      <c r="D77" s="404">
        <v>11804.760074184429</v>
      </c>
      <c r="E77" s="404">
        <f t="shared" si="1"/>
        <v>23609.520148368858</v>
      </c>
    </row>
    <row r="78" spans="1:5" x14ac:dyDescent="0.15">
      <c r="A78" s="409" t="s">
        <v>270</v>
      </c>
      <c r="B78" s="405">
        <v>11</v>
      </c>
      <c r="C78" s="405">
        <v>1231</v>
      </c>
      <c r="D78" s="406">
        <v>15191.366797735376</v>
      </c>
      <c r="E78" s="404">
        <f t="shared" si="1"/>
        <v>30382.733595470752</v>
      </c>
    </row>
    <row r="79" spans="1:5" x14ac:dyDescent="0.15">
      <c r="A79" s="409" t="s">
        <v>270</v>
      </c>
      <c r="B79" s="403">
        <v>12</v>
      </c>
      <c r="C79" s="403">
        <v>3301</v>
      </c>
      <c r="D79" s="404">
        <v>11804.760074184429</v>
      </c>
      <c r="E79" s="404">
        <f t="shared" si="1"/>
        <v>23609.520148368858</v>
      </c>
    </row>
    <row r="80" spans="1:5" x14ac:dyDescent="0.15">
      <c r="A80" s="409" t="s">
        <v>271</v>
      </c>
      <c r="B80" s="405">
        <v>11</v>
      </c>
      <c r="C80" s="405">
        <v>1231</v>
      </c>
      <c r="D80" s="406">
        <v>15191.366797735376</v>
      </c>
      <c r="E80" s="404">
        <f t="shared" si="1"/>
        <v>30382.733595470752</v>
      </c>
    </row>
    <row r="81" spans="1:5" x14ac:dyDescent="0.15">
      <c r="A81" s="409" t="s">
        <v>271</v>
      </c>
      <c r="B81" s="403">
        <v>12</v>
      </c>
      <c r="C81" s="403">
        <v>3301</v>
      </c>
      <c r="D81" s="404">
        <v>11804.760074184429</v>
      </c>
      <c r="E81" s="404">
        <f t="shared" si="1"/>
        <v>23609.520148368858</v>
      </c>
    </row>
    <row r="82" spans="1:5" x14ac:dyDescent="0.15">
      <c r="A82" s="409" t="s">
        <v>272</v>
      </c>
      <c r="B82" s="405">
        <v>11</v>
      </c>
      <c r="C82" s="405">
        <v>1231</v>
      </c>
      <c r="D82" s="406">
        <v>15191.366797735376</v>
      </c>
      <c r="E82" s="404">
        <f t="shared" si="1"/>
        <v>30382.733595470752</v>
      </c>
    </row>
    <row r="83" spans="1:5" x14ac:dyDescent="0.15">
      <c r="A83" s="409" t="s">
        <v>272</v>
      </c>
      <c r="B83" s="403">
        <v>12</v>
      </c>
      <c r="C83" s="403">
        <v>3301</v>
      </c>
      <c r="D83" s="404">
        <v>11804.760074184429</v>
      </c>
      <c r="E83" s="404">
        <f t="shared" si="1"/>
        <v>23609.520148368858</v>
      </c>
    </row>
    <row r="84" spans="1:5" x14ac:dyDescent="0.15">
      <c r="A84" s="409" t="s">
        <v>313</v>
      </c>
      <c r="B84" s="405">
        <v>11</v>
      </c>
      <c r="C84" s="405">
        <v>1231</v>
      </c>
      <c r="D84" s="406">
        <v>27587.708711982585</v>
      </c>
      <c r="E84" s="404">
        <f t="shared" si="1"/>
        <v>55175.417423965169</v>
      </c>
    </row>
    <row r="85" spans="1:5" x14ac:dyDescent="0.15">
      <c r="A85" s="409" t="s">
        <v>313</v>
      </c>
      <c r="B85" s="403">
        <v>12</v>
      </c>
      <c r="C85" s="403">
        <v>3301</v>
      </c>
      <c r="D85" s="404">
        <v>21437.589301707201</v>
      </c>
      <c r="E85" s="404">
        <f t="shared" si="1"/>
        <v>42875.178603414402</v>
      </c>
    </row>
    <row r="86" spans="1:5" x14ac:dyDescent="0.15">
      <c r="A86" s="409" t="s">
        <v>327</v>
      </c>
      <c r="B86" s="405">
        <v>11</v>
      </c>
      <c r="C86" s="405">
        <v>1231</v>
      </c>
      <c r="D86" s="406">
        <v>13793.832591105383</v>
      </c>
      <c r="E86" s="404">
        <f t="shared" si="1"/>
        <v>27587.665182210767</v>
      </c>
    </row>
    <row r="87" spans="1:5" x14ac:dyDescent="0.15">
      <c r="A87" s="409" t="s">
        <v>327</v>
      </c>
      <c r="B87" s="403">
        <v>12</v>
      </c>
      <c r="C87" s="403">
        <v>3301</v>
      </c>
      <c r="D87" s="404">
        <v>10718.777738007007</v>
      </c>
      <c r="E87" s="404">
        <f t="shared" si="1"/>
        <v>21437.555476014015</v>
      </c>
    </row>
    <row r="88" spans="1:5" x14ac:dyDescent="0.15">
      <c r="A88" s="409" t="s">
        <v>347</v>
      </c>
      <c r="B88" s="405">
        <v>11</v>
      </c>
      <c r="C88" s="405">
        <v>1231</v>
      </c>
      <c r="D88" s="406">
        <v>13793.876120877201</v>
      </c>
      <c r="E88" s="404">
        <f t="shared" si="1"/>
        <v>27587.752241754402</v>
      </c>
    </row>
    <row r="89" spans="1:5" x14ac:dyDescent="0.15">
      <c r="A89" s="409" t="s">
        <v>347</v>
      </c>
      <c r="B89" s="403">
        <v>12</v>
      </c>
      <c r="C89" s="403">
        <v>3301</v>
      </c>
      <c r="D89" s="404">
        <v>10718.811563700194</v>
      </c>
      <c r="E89" s="404">
        <f t="shared" si="1"/>
        <v>21437.623127400388</v>
      </c>
    </row>
    <row r="90" spans="1:5" x14ac:dyDescent="0.15">
      <c r="A90" s="409" t="s">
        <v>394</v>
      </c>
      <c r="B90" s="405">
        <v>11</v>
      </c>
      <c r="C90" s="405">
        <v>1231</v>
      </c>
      <c r="D90" s="406">
        <v>13793.876120877201</v>
      </c>
      <c r="E90" s="404">
        <f t="shared" si="1"/>
        <v>27587.752241754402</v>
      </c>
    </row>
    <row r="91" spans="1:5" x14ac:dyDescent="0.15">
      <c r="A91" s="409" t="s">
        <v>394</v>
      </c>
      <c r="B91" s="403">
        <v>12</v>
      </c>
      <c r="C91" s="403">
        <v>3301</v>
      </c>
      <c r="D91" s="404">
        <v>10718.811563700194</v>
      </c>
      <c r="E91" s="404">
        <f t="shared" si="1"/>
        <v>21437.623127400388</v>
      </c>
    </row>
    <row r="92" spans="1:5" x14ac:dyDescent="0.15">
      <c r="A92" s="409" t="s">
        <v>396</v>
      </c>
      <c r="B92" s="405">
        <v>11</v>
      </c>
      <c r="C92" s="405">
        <v>1231</v>
      </c>
      <c r="D92" s="406">
        <v>13793.876120877201</v>
      </c>
      <c r="E92" s="404">
        <f t="shared" si="1"/>
        <v>27587.752241754402</v>
      </c>
    </row>
    <row r="93" spans="1:5" x14ac:dyDescent="0.15">
      <c r="A93" s="409" t="s">
        <v>396</v>
      </c>
      <c r="B93" s="403">
        <v>12</v>
      </c>
      <c r="C93" s="403">
        <v>3301</v>
      </c>
      <c r="D93" s="404">
        <v>10718.811563700194</v>
      </c>
      <c r="E93" s="404">
        <f t="shared" si="1"/>
        <v>21437.623127400388</v>
      </c>
    </row>
    <row r="94" spans="1:5" x14ac:dyDescent="0.15">
      <c r="A94" s="409" t="s">
        <v>397</v>
      </c>
      <c r="B94" s="405">
        <v>11</v>
      </c>
      <c r="C94" s="405">
        <v>1231</v>
      </c>
      <c r="D94" s="406">
        <v>13793.832591105383</v>
      </c>
      <c r="E94" s="404">
        <f t="shared" si="1"/>
        <v>27587.665182210767</v>
      </c>
    </row>
    <row r="95" spans="1:5" x14ac:dyDescent="0.15">
      <c r="A95" s="409" t="s">
        <v>397</v>
      </c>
      <c r="B95" s="403">
        <v>12</v>
      </c>
      <c r="C95" s="403">
        <v>3301</v>
      </c>
      <c r="D95" s="404">
        <v>10718.777738007007</v>
      </c>
      <c r="E95" s="404">
        <f t="shared" si="1"/>
        <v>21437.555476014015</v>
      </c>
    </row>
    <row r="96" spans="1:5" x14ac:dyDescent="0.15">
      <c r="A96" s="409" t="s">
        <v>348</v>
      </c>
      <c r="B96" s="405">
        <v>11</v>
      </c>
      <c r="C96" s="405">
        <v>1231</v>
      </c>
      <c r="D96" s="406">
        <v>14421.024053369669</v>
      </c>
      <c r="E96" s="404">
        <f t="shared" si="1"/>
        <v>28842.048106739338</v>
      </c>
    </row>
    <row r="97" spans="1:5" x14ac:dyDescent="0.15">
      <c r="A97" s="409" t="s">
        <v>348</v>
      </c>
      <c r="B97" s="403">
        <v>12</v>
      </c>
      <c r="C97" s="403">
        <v>3301</v>
      </c>
      <c r="D97" s="404">
        <v>11206.149600669854</v>
      </c>
      <c r="E97" s="404">
        <f t="shared" si="1"/>
        <v>22412.299201339709</v>
      </c>
    </row>
    <row r="98" spans="1:5" x14ac:dyDescent="0.15">
      <c r="A98" s="409" t="s">
        <v>334</v>
      </c>
      <c r="B98" s="405">
        <v>11</v>
      </c>
      <c r="C98" s="405">
        <v>1231</v>
      </c>
      <c r="D98" s="406">
        <v>19751.034218472803</v>
      </c>
      <c r="E98" s="404">
        <f t="shared" si="1"/>
        <v>39502.068436945607</v>
      </c>
    </row>
    <row r="99" spans="1:5" x14ac:dyDescent="0.15">
      <c r="A99" s="409" t="s">
        <v>334</v>
      </c>
      <c r="B99" s="403">
        <v>12</v>
      </c>
      <c r="C99" s="403">
        <v>3301</v>
      </c>
      <c r="D99" s="404">
        <v>15347.942240512253</v>
      </c>
      <c r="E99" s="404">
        <f t="shared" si="1"/>
        <v>30695.884481024506</v>
      </c>
    </row>
    <row r="100" spans="1:5" x14ac:dyDescent="0.15">
      <c r="A100" s="409" t="s">
        <v>337</v>
      </c>
      <c r="B100" s="405">
        <v>11</v>
      </c>
      <c r="C100" s="405">
        <v>1231</v>
      </c>
      <c r="D100" s="406">
        <v>19751.034218472803</v>
      </c>
      <c r="E100" s="404">
        <f t="shared" si="1"/>
        <v>39502.068436945607</v>
      </c>
    </row>
    <row r="101" spans="1:5" x14ac:dyDescent="0.15">
      <c r="A101" s="409" t="s">
        <v>337</v>
      </c>
      <c r="B101" s="403">
        <v>12</v>
      </c>
      <c r="C101" s="403">
        <v>3301</v>
      </c>
      <c r="D101" s="404">
        <v>15347.942240512253</v>
      </c>
      <c r="E101" s="404">
        <f t="shared" si="1"/>
        <v>30695.884481024506</v>
      </c>
    </row>
    <row r="102" spans="1:5" x14ac:dyDescent="0.15">
      <c r="A102" s="409" t="s">
        <v>399</v>
      </c>
      <c r="B102" s="405">
        <v>11</v>
      </c>
      <c r="C102" s="405">
        <v>1231</v>
      </c>
      <c r="D102" s="406">
        <v>13973.801596041749</v>
      </c>
      <c r="E102" s="404">
        <f t="shared" si="1"/>
        <v>27947.603192083498</v>
      </c>
    </row>
    <row r="103" spans="1:5" x14ac:dyDescent="0.15">
      <c r="A103" s="409" t="s">
        <v>399</v>
      </c>
      <c r="B103" s="403">
        <v>12</v>
      </c>
      <c r="C103" s="403">
        <v>3301</v>
      </c>
      <c r="D103" s="404">
        <v>10858.626308076437</v>
      </c>
      <c r="E103" s="404">
        <f t="shared" si="1"/>
        <v>21717.252616152873</v>
      </c>
    </row>
    <row r="104" spans="1:5" x14ac:dyDescent="0.15">
      <c r="A104" s="409" t="s">
        <v>401</v>
      </c>
      <c r="B104" s="405">
        <v>11</v>
      </c>
      <c r="C104" s="405">
        <v>1231</v>
      </c>
      <c r="D104" s="406">
        <v>13973.801596041749</v>
      </c>
      <c r="E104" s="404">
        <f t="shared" si="1"/>
        <v>27947.603192083498</v>
      </c>
    </row>
    <row r="105" spans="1:5" x14ac:dyDescent="0.15">
      <c r="A105" s="409" t="s">
        <v>401</v>
      </c>
      <c r="B105" s="403">
        <v>12</v>
      </c>
      <c r="C105" s="403">
        <v>3301</v>
      </c>
      <c r="D105" s="404">
        <v>10858.626308076437</v>
      </c>
      <c r="E105" s="404">
        <f t="shared" si="1"/>
        <v>21717.252616152873</v>
      </c>
    </row>
    <row r="106" spans="1:5" x14ac:dyDescent="0.15">
      <c r="A106" s="409" t="s">
        <v>436</v>
      </c>
      <c r="B106" s="405">
        <v>11</v>
      </c>
      <c r="C106" s="405">
        <v>1231</v>
      </c>
      <c r="D106" s="406">
        <v>13973.801596041749</v>
      </c>
      <c r="E106" s="404">
        <f t="shared" si="1"/>
        <v>27947.603192083498</v>
      </c>
    </row>
    <row r="107" spans="1:5" x14ac:dyDescent="0.15">
      <c r="A107" s="409" t="s">
        <v>436</v>
      </c>
      <c r="B107" s="403">
        <v>12</v>
      </c>
      <c r="C107" s="403">
        <v>3301</v>
      </c>
      <c r="D107" s="404">
        <v>10858.626308076437</v>
      </c>
      <c r="E107" s="404">
        <f t="shared" si="1"/>
        <v>21717.252616152873</v>
      </c>
    </row>
    <row r="108" spans="1:5" x14ac:dyDescent="0.15">
      <c r="A108" s="409" t="s">
        <v>438</v>
      </c>
      <c r="B108" s="405">
        <v>11</v>
      </c>
      <c r="C108" s="405">
        <v>1231</v>
      </c>
      <c r="D108" s="406">
        <v>13973.801596041749</v>
      </c>
      <c r="E108" s="404">
        <f t="shared" si="1"/>
        <v>27947.603192083498</v>
      </c>
    </row>
    <row r="109" spans="1:5" x14ac:dyDescent="0.15">
      <c r="A109" s="409" t="s">
        <v>438</v>
      </c>
      <c r="B109" s="403">
        <v>12</v>
      </c>
      <c r="C109" s="403">
        <v>3301</v>
      </c>
      <c r="D109" s="404">
        <v>10858.626308076437</v>
      </c>
      <c r="E109" s="404">
        <f t="shared" si="1"/>
        <v>21717.252616152873</v>
      </c>
    </row>
    <row r="110" spans="1:5" x14ac:dyDescent="0.15">
      <c r="A110" s="409" t="s">
        <v>440</v>
      </c>
      <c r="B110" s="405">
        <v>11</v>
      </c>
      <c r="C110" s="405">
        <v>1231</v>
      </c>
      <c r="D110" s="406">
        <v>13973.801596041749</v>
      </c>
      <c r="E110" s="404">
        <f t="shared" si="1"/>
        <v>27947.603192083498</v>
      </c>
    </row>
    <row r="111" spans="1:5" x14ac:dyDescent="0.15">
      <c r="A111" s="409" t="s">
        <v>440</v>
      </c>
      <c r="B111" s="403">
        <v>12</v>
      </c>
      <c r="C111" s="403">
        <v>3301</v>
      </c>
      <c r="D111" s="404">
        <v>10858.626308076437</v>
      </c>
      <c r="E111" s="404">
        <f t="shared" si="1"/>
        <v>21717.252616152873</v>
      </c>
    </row>
    <row r="112" spans="1:5" x14ac:dyDescent="0.15">
      <c r="A112" s="409" t="s">
        <v>339</v>
      </c>
      <c r="B112" s="405">
        <v>11</v>
      </c>
      <c r="C112" s="405">
        <v>1231</v>
      </c>
      <c r="D112" s="406">
        <v>18579.591228340018</v>
      </c>
      <c r="E112" s="404">
        <f t="shared" si="1"/>
        <v>37159.182456680035</v>
      </c>
    </row>
    <row r="113" spans="1:5" x14ac:dyDescent="0.15">
      <c r="A113" s="409" t="s">
        <v>339</v>
      </c>
      <c r="B113" s="403">
        <v>12</v>
      </c>
      <c r="C113" s="403">
        <v>3301</v>
      </c>
      <c r="D113" s="404">
        <v>14437.648675540589</v>
      </c>
      <c r="E113" s="404">
        <f t="shared" si="1"/>
        <v>28875.297351081179</v>
      </c>
    </row>
    <row r="114" spans="1:5" x14ac:dyDescent="0.15">
      <c r="A114" s="409" t="s">
        <v>341</v>
      </c>
      <c r="B114" s="405">
        <v>11</v>
      </c>
      <c r="C114" s="405">
        <v>1231</v>
      </c>
      <c r="D114" s="406">
        <v>18579.591228340018</v>
      </c>
      <c r="E114" s="404">
        <f t="shared" si="1"/>
        <v>37159.182456680035</v>
      </c>
    </row>
    <row r="115" spans="1:5" x14ac:dyDescent="0.15">
      <c r="A115" s="409" t="s">
        <v>341</v>
      </c>
      <c r="B115" s="403">
        <v>12</v>
      </c>
      <c r="C115" s="403">
        <v>3301</v>
      </c>
      <c r="D115" s="404">
        <v>14437.648675540589</v>
      </c>
      <c r="E115" s="404">
        <f t="shared" si="1"/>
        <v>28875.297351081179</v>
      </c>
    </row>
    <row r="116" spans="1:5" x14ac:dyDescent="0.15">
      <c r="A116" s="409" t="s">
        <v>342</v>
      </c>
      <c r="B116" s="405">
        <v>11</v>
      </c>
      <c r="C116" s="405">
        <v>1231</v>
      </c>
      <c r="D116" s="406">
        <v>18579.591228340018</v>
      </c>
      <c r="E116" s="404">
        <f t="shared" si="1"/>
        <v>37159.182456680035</v>
      </c>
    </row>
    <row r="117" spans="1:5" x14ac:dyDescent="0.15">
      <c r="A117" s="409" t="s">
        <v>342</v>
      </c>
      <c r="B117" s="403">
        <v>12</v>
      </c>
      <c r="C117" s="403">
        <v>3301</v>
      </c>
      <c r="D117" s="404">
        <v>14437.648675540589</v>
      </c>
      <c r="E117" s="404">
        <f t="shared" si="1"/>
        <v>28875.297351081179</v>
      </c>
    </row>
    <row r="118" spans="1:5" x14ac:dyDescent="0.15">
      <c r="A118" s="409" t="s">
        <v>274</v>
      </c>
      <c r="B118" s="405">
        <v>11</v>
      </c>
      <c r="C118" s="405">
        <v>1231</v>
      </c>
      <c r="D118" s="406">
        <v>18579.591228340018</v>
      </c>
      <c r="E118" s="404">
        <f t="shared" si="1"/>
        <v>37159.182456680035</v>
      </c>
    </row>
    <row r="119" spans="1:5" x14ac:dyDescent="0.15">
      <c r="A119" s="409" t="s">
        <v>274</v>
      </c>
      <c r="B119" s="403">
        <v>12</v>
      </c>
      <c r="C119" s="403">
        <v>3301</v>
      </c>
      <c r="D119" s="404">
        <v>14437.648675540589</v>
      </c>
      <c r="E119" s="404">
        <f t="shared" si="1"/>
        <v>28875.297351081179</v>
      </c>
    </row>
    <row r="120" spans="1:5" x14ac:dyDescent="0.15">
      <c r="A120" s="409" t="s">
        <v>353</v>
      </c>
      <c r="B120" s="405">
        <v>11</v>
      </c>
      <c r="C120" s="405">
        <v>1231</v>
      </c>
      <c r="D120" s="406">
        <v>18579.591228340018</v>
      </c>
      <c r="E120" s="404">
        <f t="shared" si="1"/>
        <v>37159.182456680035</v>
      </c>
    </row>
    <row r="121" spans="1:5" x14ac:dyDescent="0.15">
      <c r="A121" s="409" t="s">
        <v>353</v>
      </c>
      <c r="B121" s="403">
        <v>12</v>
      </c>
      <c r="C121" s="403">
        <v>3301</v>
      </c>
      <c r="D121" s="404">
        <v>14437.648675540589</v>
      </c>
      <c r="E121" s="404">
        <f t="shared" si="1"/>
        <v>28875.297351081179</v>
      </c>
    </row>
    <row r="122" spans="1:5" x14ac:dyDescent="0.15">
      <c r="A122" s="409" t="s">
        <v>275</v>
      </c>
      <c r="B122" s="405">
        <v>11</v>
      </c>
      <c r="C122" s="405">
        <v>1231</v>
      </c>
      <c r="D122" s="406">
        <v>18579.591228340018</v>
      </c>
      <c r="E122" s="404">
        <f t="shared" si="1"/>
        <v>37159.182456680035</v>
      </c>
    </row>
    <row r="123" spans="1:5" x14ac:dyDescent="0.15">
      <c r="A123" s="409" t="s">
        <v>275</v>
      </c>
      <c r="B123" s="403">
        <v>12</v>
      </c>
      <c r="C123" s="403">
        <v>3301</v>
      </c>
      <c r="D123" s="404">
        <v>14437.648675540589</v>
      </c>
      <c r="E123" s="404">
        <f t="shared" si="1"/>
        <v>28875.297351081179</v>
      </c>
    </row>
    <row r="124" spans="1:5" x14ac:dyDescent="0.15">
      <c r="A124" s="409" t="s">
        <v>276</v>
      </c>
      <c r="B124" s="405">
        <v>11</v>
      </c>
      <c r="C124" s="405">
        <v>1231</v>
      </c>
      <c r="D124" s="406">
        <v>18579.591228340018</v>
      </c>
      <c r="E124" s="404">
        <f t="shared" si="1"/>
        <v>37159.182456680035</v>
      </c>
    </row>
    <row r="125" spans="1:5" x14ac:dyDescent="0.15">
      <c r="A125" s="409" t="s">
        <v>276</v>
      </c>
      <c r="B125" s="403">
        <v>12</v>
      </c>
      <c r="C125" s="403">
        <v>3301</v>
      </c>
      <c r="D125" s="404">
        <v>14437.648675540589</v>
      </c>
      <c r="E125" s="404">
        <f t="shared" si="1"/>
        <v>28875.297351081179</v>
      </c>
    </row>
    <row r="126" spans="1:5" x14ac:dyDescent="0.15">
      <c r="A126" s="409" t="s">
        <v>277</v>
      </c>
      <c r="B126" s="405">
        <v>11</v>
      </c>
      <c r="C126" s="405">
        <v>1231</v>
      </c>
      <c r="D126" s="406">
        <v>18579.591228340018</v>
      </c>
      <c r="E126" s="404">
        <f t="shared" si="1"/>
        <v>37159.182456680035</v>
      </c>
    </row>
    <row r="127" spans="1:5" x14ac:dyDescent="0.15">
      <c r="A127" s="409" t="s">
        <v>277</v>
      </c>
      <c r="B127" s="403">
        <v>12</v>
      </c>
      <c r="C127" s="403">
        <v>3301</v>
      </c>
      <c r="D127" s="404">
        <v>14437.648675540589</v>
      </c>
      <c r="E127" s="404">
        <f t="shared" si="1"/>
        <v>28875.297351081179</v>
      </c>
    </row>
    <row r="128" spans="1:5" x14ac:dyDescent="0.15">
      <c r="A128" s="409" t="s">
        <v>364</v>
      </c>
      <c r="B128" s="405">
        <v>11</v>
      </c>
      <c r="C128" s="405">
        <v>1231</v>
      </c>
      <c r="D128" s="406">
        <v>18579.591228340018</v>
      </c>
      <c r="E128" s="404">
        <f t="shared" si="1"/>
        <v>37159.182456680035</v>
      </c>
    </row>
    <row r="129" spans="1:5" x14ac:dyDescent="0.15">
      <c r="A129" s="409" t="s">
        <v>364</v>
      </c>
      <c r="B129" s="403">
        <v>12</v>
      </c>
      <c r="C129" s="403">
        <v>3301</v>
      </c>
      <c r="D129" s="404">
        <v>14437.648675540589</v>
      </c>
      <c r="E129" s="404">
        <f t="shared" si="1"/>
        <v>28875.297351081179</v>
      </c>
    </row>
    <row r="130" spans="1:5" x14ac:dyDescent="0.15">
      <c r="A130" s="409" t="s">
        <v>366</v>
      </c>
      <c r="B130" s="405">
        <v>11</v>
      </c>
      <c r="C130" s="405">
        <v>1231</v>
      </c>
      <c r="D130" s="406">
        <v>18579.591228340018</v>
      </c>
      <c r="E130" s="404">
        <f t="shared" si="1"/>
        <v>37159.182456680035</v>
      </c>
    </row>
    <row r="131" spans="1:5" x14ac:dyDescent="0.15">
      <c r="A131" s="409" t="s">
        <v>366</v>
      </c>
      <c r="B131" s="403">
        <v>12</v>
      </c>
      <c r="C131" s="403">
        <v>3301</v>
      </c>
      <c r="D131" s="404">
        <v>14437.648675540589</v>
      </c>
      <c r="E131" s="404">
        <f t="shared" ref="E131:E194" si="2">+D131*2</f>
        <v>28875.297351081179</v>
      </c>
    </row>
    <row r="132" spans="1:5" x14ac:dyDescent="0.15">
      <c r="A132" s="410" t="s">
        <v>368</v>
      </c>
      <c r="B132" s="405">
        <v>11</v>
      </c>
      <c r="C132" s="405">
        <v>1231</v>
      </c>
      <c r="D132" s="406">
        <v>18579.591228340018</v>
      </c>
      <c r="E132" s="404">
        <f t="shared" si="2"/>
        <v>37159.182456680035</v>
      </c>
    </row>
    <row r="133" spans="1:5" x14ac:dyDescent="0.15">
      <c r="A133" s="410" t="s">
        <v>368</v>
      </c>
      <c r="B133" s="403">
        <v>12</v>
      </c>
      <c r="C133" s="403">
        <v>3301</v>
      </c>
      <c r="D133" s="404">
        <v>14437.648675540589</v>
      </c>
      <c r="E133" s="404">
        <f t="shared" si="2"/>
        <v>28875.297351081179</v>
      </c>
    </row>
    <row r="134" spans="1:5" x14ac:dyDescent="0.15">
      <c r="A134" s="409" t="s">
        <v>370</v>
      </c>
      <c r="B134" s="405">
        <v>11</v>
      </c>
      <c r="C134" s="405">
        <v>1231</v>
      </c>
      <c r="D134" s="406">
        <v>18579.591228340018</v>
      </c>
      <c r="E134" s="404">
        <f t="shared" si="2"/>
        <v>37159.182456680035</v>
      </c>
    </row>
    <row r="135" spans="1:5" x14ac:dyDescent="0.15">
      <c r="A135" s="409" t="s">
        <v>370</v>
      </c>
      <c r="B135" s="403">
        <v>12</v>
      </c>
      <c r="C135" s="403">
        <v>3301</v>
      </c>
      <c r="D135" s="404">
        <v>14437.648675540589</v>
      </c>
      <c r="E135" s="404">
        <f t="shared" si="2"/>
        <v>28875.297351081179</v>
      </c>
    </row>
    <row r="136" spans="1:5" x14ac:dyDescent="0.15">
      <c r="A136" s="409" t="s">
        <v>378</v>
      </c>
      <c r="B136" s="405">
        <v>11</v>
      </c>
      <c r="C136" s="405">
        <v>1231</v>
      </c>
      <c r="D136" s="406">
        <v>18579.591228340018</v>
      </c>
      <c r="E136" s="404">
        <f t="shared" si="2"/>
        <v>37159.182456680035</v>
      </c>
    </row>
    <row r="137" spans="1:5" x14ac:dyDescent="0.15">
      <c r="A137" s="409" t="s">
        <v>378</v>
      </c>
      <c r="B137" s="403">
        <v>12</v>
      </c>
      <c r="C137" s="403">
        <v>3301</v>
      </c>
      <c r="D137" s="404">
        <v>14437.648675540589</v>
      </c>
      <c r="E137" s="404">
        <f t="shared" si="2"/>
        <v>28875.297351081179</v>
      </c>
    </row>
    <row r="138" spans="1:5" x14ac:dyDescent="0.15">
      <c r="A138" s="409" t="s">
        <v>384</v>
      </c>
      <c r="B138" s="405">
        <v>11</v>
      </c>
      <c r="C138" s="405">
        <v>1231</v>
      </c>
      <c r="D138" s="406">
        <v>18579.591228340018</v>
      </c>
      <c r="E138" s="404">
        <f t="shared" si="2"/>
        <v>37159.182456680035</v>
      </c>
    </row>
    <row r="139" spans="1:5" x14ac:dyDescent="0.15">
      <c r="A139" s="409" t="s">
        <v>384</v>
      </c>
      <c r="B139" s="403">
        <v>12</v>
      </c>
      <c r="C139" s="403">
        <v>3301</v>
      </c>
      <c r="D139" s="404">
        <v>14437.648675540589</v>
      </c>
      <c r="E139" s="404">
        <f t="shared" si="2"/>
        <v>28875.297351081179</v>
      </c>
    </row>
    <row r="140" spans="1:5" x14ac:dyDescent="0.15">
      <c r="A140" s="409" t="s">
        <v>446</v>
      </c>
      <c r="B140" s="405">
        <v>11</v>
      </c>
      <c r="C140" s="405">
        <v>1231</v>
      </c>
      <c r="D140" s="406">
        <v>18579.591228340018</v>
      </c>
      <c r="E140" s="404">
        <f t="shared" si="2"/>
        <v>37159.182456680035</v>
      </c>
    </row>
    <row r="141" spans="1:5" x14ac:dyDescent="0.15">
      <c r="A141" s="409" t="s">
        <v>446</v>
      </c>
      <c r="B141" s="403">
        <v>12</v>
      </c>
      <c r="C141" s="403">
        <v>3301</v>
      </c>
      <c r="D141" s="404">
        <v>14437.648675540589</v>
      </c>
      <c r="E141" s="404">
        <f t="shared" si="2"/>
        <v>28875.297351081179</v>
      </c>
    </row>
    <row r="142" spans="1:5" x14ac:dyDescent="0.15">
      <c r="A142" s="409" t="s">
        <v>447</v>
      </c>
      <c r="B142" s="405">
        <v>11</v>
      </c>
      <c r="C142" s="405">
        <v>1231</v>
      </c>
      <c r="D142" s="406">
        <v>18579.591228340018</v>
      </c>
      <c r="E142" s="404">
        <f t="shared" si="2"/>
        <v>37159.182456680035</v>
      </c>
    </row>
    <row r="143" spans="1:5" x14ac:dyDescent="0.15">
      <c r="A143" s="409" t="s">
        <v>447</v>
      </c>
      <c r="B143" s="403">
        <v>12</v>
      </c>
      <c r="C143" s="403">
        <v>3301</v>
      </c>
      <c r="D143" s="404">
        <v>14437.648675540589</v>
      </c>
      <c r="E143" s="404">
        <f t="shared" si="2"/>
        <v>28875.297351081179</v>
      </c>
    </row>
    <row r="144" spans="1:5" x14ac:dyDescent="0.15">
      <c r="A144" s="409" t="s">
        <v>448</v>
      </c>
      <c r="B144" s="405">
        <v>11</v>
      </c>
      <c r="C144" s="405">
        <v>1231</v>
      </c>
      <c r="D144" s="406">
        <v>18579.591228340018</v>
      </c>
      <c r="E144" s="404">
        <f t="shared" si="2"/>
        <v>37159.182456680035</v>
      </c>
    </row>
    <row r="145" spans="1:5" x14ac:dyDescent="0.15">
      <c r="A145" s="409" t="s">
        <v>448</v>
      </c>
      <c r="B145" s="403">
        <v>12</v>
      </c>
      <c r="C145" s="403">
        <v>3301</v>
      </c>
      <c r="D145" s="404">
        <v>14437.648675540589</v>
      </c>
      <c r="E145" s="404">
        <f t="shared" si="2"/>
        <v>28875.297351081179</v>
      </c>
    </row>
    <row r="146" spans="1:5" x14ac:dyDescent="0.15">
      <c r="A146" s="409" t="s">
        <v>375</v>
      </c>
      <c r="B146" s="405">
        <v>11</v>
      </c>
      <c r="C146" s="405">
        <v>1231</v>
      </c>
      <c r="D146" s="406">
        <v>23733.106306129856</v>
      </c>
      <c r="E146" s="404">
        <f t="shared" si="2"/>
        <v>47466.212612259711</v>
      </c>
    </row>
    <row r="147" spans="1:5" x14ac:dyDescent="0.15">
      <c r="A147" s="409" t="s">
        <v>375</v>
      </c>
      <c r="B147" s="403">
        <v>12</v>
      </c>
      <c r="C147" s="403">
        <v>3301</v>
      </c>
      <c r="D147" s="404">
        <v>18442.292223550365</v>
      </c>
      <c r="E147" s="404">
        <f t="shared" si="2"/>
        <v>36884.584447100729</v>
      </c>
    </row>
    <row r="148" spans="1:5" x14ac:dyDescent="0.15">
      <c r="A148" s="409" t="s">
        <v>278</v>
      </c>
      <c r="B148" s="405">
        <v>11</v>
      </c>
      <c r="C148" s="405">
        <v>1231</v>
      </c>
      <c r="D148" s="406">
        <v>21985.034102018966</v>
      </c>
      <c r="E148" s="404">
        <f t="shared" si="2"/>
        <v>43970.068204037932</v>
      </c>
    </row>
    <row r="149" spans="1:5" x14ac:dyDescent="0.15">
      <c r="A149" s="409" t="s">
        <v>278</v>
      </c>
      <c r="B149" s="403">
        <v>12</v>
      </c>
      <c r="C149" s="403">
        <v>3301</v>
      </c>
      <c r="D149" s="404">
        <v>17083.917217757207</v>
      </c>
      <c r="E149" s="404">
        <f t="shared" si="2"/>
        <v>34167.834435514415</v>
      </c>
    </row>
    <row r="150" spans="1:5" x14ac:dyDescent="0.15">
      <c r="A150" s="409" t="s">
        <v>279</v>
      </c>
      <c r="B150" s="405">
        <v>11</v>
      </c>
      <c r="C150" s="405">
        <v>1231</v>
      </c>
      <c r="D150" s="406">
        <v>21985.034102018966</v>
      </c>
      <c r="E150" s="404">
        <f t="shared" si="2"/>
        <v>43970.068204037932</v>
      </c>
    </row>
    <row r="151" spans="1:5" x14ac:dyDescent="0.15">
      <c r="A151" s="409" t="s">
        <v>279</v>
      </c>
      <c r="B151" s="403">
        <v>12</v>
      </c>
      <c r="C151" s="403">
        <v>3301</v>
      </c>
      <c r="D151" s="404">
        <v>17083.917217757207</v>
      </c>
      <c r="E151" s="404">
        <f t="shared" si="2"/>
        <v>34167.834435514415</v>
      </c>
    </row>
    <row r="152" spans="1:5" x14ac:dyDescent="0.15">
      <c r="A152" s="403">
        <v>676</v>
      </c>
      <c r="B152" s="403">
        <v>11</v>
      </c>
      <c r="C152" s="403">
        <v>1231</v>
      </c>
      <c r="D152" s="404">
        <v>26878.04</v>
      </c>
      <c r="E152" s="404">
        <f t="shared" si="2"/>
        <v>53756.08</v>
      </c>
    </row>
    <row r="153" spans="1:5" x14ac:dyDescent="0.15">
      <c r="A153" s="403">
        <v>360</v>
      </c>
      <c r="B153" s="403">
        <v>258</v>
      </c>
      <c r="C153" s="403">
        <v>3301</v>
      </c>
      <c r="D153" s="404">
        <v>37618.46</v>
      </c>
      <c r="E153" s="404">
        <f t="shared" si="2"/>
        <v>75236.92</v>
      </c>
    </row>
    <row r="154" spans="1:5" x14ac:dyDescent="0.15">
      <c r="A154" s="403">
        <v>677</v>
      </c>
      <c r="B154" s="403">
        <v>11</v>
      </c>
      <c r="C154" s="403">
        <v>1231</v>
      </c>
      <c r="D154" s="404">
        <v>26878.04</v>
      </c>
      <c r="E154" s="404">
        <f t="shared" si="2"/>
        <v>53756.08</v>
      </c>
    </row>
    <row r="155" spans="1:5" x14ac:dyDescent="0.15">
      <c r="A155" s="403">
        <v>360</v>
      </c>
      <c r="B155" s="403">
        <v>258</v>
      </c>
      <c r="C155" s="403">
        <v>3301</v>
      </c>
      <c r="D155" s="404">
        <v>37618.46</v>
      </c>
      <c r="E155" s="404">
        <f t="shared" si="2"/>
        <v>75236.92</v>
      </c>
    </row>
    <row r="156" spans="1:5" x14ac:dyDescent="0.15">
      <c r="A156" s="403">
        <v>678</v>
      </c>
      <c r="B156" s="403">
        <v>11</v>
      </c>
      <c r="C156" s="403">
        <v>1231</v>
      </c>
      <c r="D156" s="404">
        <v>26878.04</v>
      </c>
      <c r="E156" s="404">
        <f t="shared" si="2"/>
        <v>53756.08</v>
      </c>
    </row>
    <row r="157" spans="1:5" x14ac:dyDescent="0.15">
      <c r="A157" s="403">
        <v>360</v>
      </c>
      <c r="B157" s="403">
        <v>258</v>
      </c>
      <c r="C157" s="403">
        <v>3301</v>
      </c>
      <c r="D157" s="404">
        <v>37618.46</v>
      </c>
      <c r="E157" s="404">
        <f t="shared" si="2"/>
        <v>75236.92</v>
      </c>
    </row>
    <row r="158" spans="1:5" x14ac:dyDescent="0.15">
      <c r="A158" s="409" t="s">
        <v>381</v>
      </c>
      <c r="B158" s="405">
        <v>11</v>
      </c>
      <c r="C158" s="405">
        <v>1231</v>
      </c>
      <c r="D158" s="406">
        <v>33027.926586043912</v>
      </c>
      <c r="E158" s="404">
        <f t="shared" si="2"/>
        <v>66055.853172087824</v>
      </c>
    </row>
    <row r="159" spans="1:5" x14ac:dyDescent="0.15">
      <c r="A159" s="409" t="s">
        <v>381</v>
      </c>
      <c r="B159" s="403">
        <v>12</v>
      </c>
      <c r="C159" s="403">
        <v>3301</v>
      </c>
      <c r="D159" s="404">
        <v>25665.021079877235</v>
      </c>
      <c r="E159" s="404">
        <f t="shared" si="2"/>
        <v>51330.04215975447</v>
      </c>
    </row>
    <row r="160" spans="1:5" x14ac:dyDescent="0.15">
      <c r="A160" s="410" t="s">
        <v>442</v>
      </c>
      <c r="B160" s="405">
        <v>11</v>
      </c>
      <c r="C160" s="405">
        <v>1231</v>
      </c>
      <c r="D160" s="406">
        <v>33027.926586043912</v>
      </c>
      <c r="E160" s="404">
        <f t="shared" si="2"/>
        <v>66055.853172087824</v>
      </c>
    </row>
    <row r="161" spans="1:5" x14ac:dyDescent="0.15">
      <c r="A161" s="410" t="s">
        <v>442</v>
      </c>
      <c r="B161" s="403">
        <v>12</v>
      </c>
      <c r="C161" s="403">
        <v>3301</v>
      </c>
      <c r="D161" s="404">
        <v>25665.021079877235</v>
      </c>
      <c r="E161" s="404">
        <f t="shared" si="2"/>
        <v>51330.04215975447</v>
      </c>
    </row>
    <row r="162" spans="1:5" x14ac:dyDescent="0.15">
      <c r="A162" s="409" t="s">
        <v>444</v>
      </c>
      <c r="B162" s="405">
        <v>11</v>
      </c>
      <c r="C162" s="405">
        <v>1231</v>
      </c>
      <c r="D162" s="406">
        <v>33027.926586043912</v>
      </c>
      <c r="E162" s="404">
        <f t="shared" si="2"/>
        <v>66055.853172087824</v>
      </c>
    </row>
    <row r="163" spans="1:5" x14ac:dyDescent="0.15">
      <c r="A163" s="409" t="s">
        <v>444</v>
      </c>
      <c r="B163" s="403">
        <v>12</v>
      </c>
      <c r="C163" s="403">
        <v>3301</v>
      </c>
      <c r="D163" s="404">
        <v>25665.021079877235</v>
      </c>
      <c r="E163" s="404">
        <f t="shared" si="2"/>
        <v>51330.04215975447</v>
      </c>
    </row>
    <row r="164" spans="1:5" x14ac:dyDescent="0.15">
      <c r="A164" s="409" t="s">
        <v>281</v>
      </c>
      <c r="B164" s="405">
        <v>11</v>
      </c>
      <c r="C164" s="405">
        <v>1231</v>
      </c>
      <c r="D164" s="406">
        <v>36695.95071660605</v>
      </c>
      <c r="E164" s="404">
        <f t="shared" si="2"/>
        <v>73391.901433212101</v>
      </c>
    </row>
    <row r="165" spans="1:5" x14ac:dyDescent="0.15">
      <c r="A165" s="409" t="s">
        <v>281</v>
      </c>
      <c r="B165" s="403">
        <v>12</v>
      </c>
      <c r="C165" s="403">
        <v>3301</v>
      </c>
      <c r="D165" s="404">
        <v>28515.333720215818</v>
      </c>
      <c r="E165" s="404">
        <f t="shared" si="2"/>
        <v>57030.667440431636</v>
      </c>
    </row>
    <row r="166" spans="1:5" x14ac:dyDescent="0.15">
      <c r="A166" s="409" t="s">
        <v>282</v>
      </c>
      <c r="B166" s="405">
        <v>11</v>
      </c>
      <c r="C166" s="405">
        <v>1231</v>
      </c>
      <c r="D166" s="406">
        <v>40079.596057047602</v>
      </c>
      <c r="E166" s="404">
        <f t="shared" si="2"/>
        <v>80159.192114095204</v>
      </c>
    </row>
    <row r="167" spans="1:5" x14ac:dyDescent="0.15">
      <c r="A167" s="409" t="s">
        <v>282</v>
      </c>
      <c r="B167" s="403">
        <v>12</v>
      </c>
      <c r="C167" s="403">
        <v>3301</v>
      </c>
      <c r="D167" s="404">
        <v>31144.664046569269</v>
      </c>
      <c r="E167" s="404">
        <f t="shared" si="2"/>
        <v>62289.328093138538</v>
      </c>
    </row>
    <row r="168" spans="1:5" x14ac:dyDescent="0.15">
      <c r="A168" s="403">
        <v>684</v>
      </c>
      <c r="B168" s="403">
        <v>11</v>
      </c>
      <c r="C168" s="403">
        <v>1231</v>
      </c>
      <c r="D168" s="404">
        <v>38678.879999999997</v>
      </c>
      <c r="E168" s="404">
        <f t="shared" si="2"/>
        <v>77357.759999999995</v>
      </c>
    </row>
    <row r="169" spans="1:5" x14ac:dyDescent="0.15">
      <c r="A169" s="403">
        <v>360</v>
      </c>
      <c r="B169" s="403">
        <v>258</v>
      </c>
      <c r="C169" s="403">
        <v>3301</v>
      </c>
      <c r="D169" s="404">
        <v>54134.91</v>
      </c>
      <c r="E169" s="404">
        <f t="shared" si="2"/>
        <v>108269.82</v>
      </c>
    </row>
    <row r="170" spans="1:5" x14ac:dyDescent="0.15">
      <c r="A170" s="403">
        <v>685</v>
      </c>
      <c r="B170" s="403">
        <v>11</v>
      </c>
      <c r="C170" s="403">
        <v>1231</v>
      </c>
      <c r="D170" s="404">
        <v>31043.599999999999</v>
      </c>
      <c r="E170" s="404">
        <f t="shared" si="2"/>
        <v>62087.199999999997</v>
      </c>
    </row>
    <row r="171" spans="1:5" x14ac:dyDescent="0.15">
      <c r="A171" s="403">
        <v>360</v>
      </c>
      <c r="B171" s="403">
        <v>258</v>
      </c>
      <c r="C171" s="403">
        <v>3301</v>
      </c>
      <c r="D171" s="404">
        <v>43448.58</v>
      </c>
      <c r="E171" s="404">
        <f t="shared" si="2"/>
        <v>86897.16</v>
      </c>
    </row>
    <row r="172" spans="1:5" x14ac:dyDescent="0.15">
      <c r="A172" s="403">
        <v>686</v>
      </c>
      <c r="B172" s="403">
        <v>11</v>
      </c>
      <c r="C172" s="403">
        <v>1231</v>
      </c>
      <c r="D172" s="404">
        <v>31043.56</v>
      </c>
      <c r="E172" s="404">
        <f t="shared" si="2"/>
        <v>62087.12</v>
      </c>
    </row>
    <row r="173" spans="1:5" x14ac:dyDescent="0.15">
      <c r="A173" s="403">
        <v>360</v>
      </c>
      <c r="B173" s="403">
        <v>258</v>
      </c>
      <c r="C173" s="403">
        <v>3301</v>
      </c>
      <c r="D173" s="404">
        <v>43448.53</v>
      </c>
      <c r="E173" s="404">
        <f t="shared" si="2"/>
        <v>86897.06</v>
      </c>
    </row>
    <row r="174" spans="1:5" x14ac:dyDescent="0.15">
      <c r="A174" s="403">
        <v>687</v>
      </c>
      <c r="B174" s="403">
        <v>11</v>
      </c>
      <c r="C174" s="403">
        <v>1231</v>
      </c>
      <c r="D174" s="404">
        <v>38137.18</v>
      </c>
      <c r="E174" s="404">
        <f t="shared" si="2"/>
        <v>76274.36</v>
      </c>
    </row>
    <row r="175" spans="1:5" x14ac:dyDescent="0.15">
      <c r="A175" s="403">
        <v>360</v>
      </c>
      <c r="B175" s="403">
        <v>258</v>
      </c>
      <c r="C175" s="403">
        <v>3301</v>
      </c>
      <c r="D175" s="404">
        <v>53376.75</v>
      </c>
      <c r="E175" s="404">
        <f t="shared" si="2"/>
        <v>106753.5</v>
      </c>
    </row>
    <row r="176" spans="1:5" x14ac:dyDescent="0.15">
      <c r="A176" s="403">
        <v>688</v>
      </c>
      <c r="B176" s="403">
        <v>11</v>
      </c>
      <c r="C176" s="403">
        <v>1231</v>
      </c>
      <c r="D176" s="404">
        <v>82089.440000000002</v>
      </c>
      <c r="E176" s="404">
        <f t="shared" si="2"/>
        <v>164178.88</v>
      </c>
    </row>
    <row r="177" spans="1:5" x14ac:dyDescent="0.15">
      <c r="A177" s="403">
        <v>360</v>
      </c>
      <c r="B177" s="403">
        <v>258</v>
      </c>
      <c r="C177" s="403">
        <v>3301</v>
      </c>
      <c r="D177" s="404">
        <v>114892.27</v>
      </c>
      <c r="E177" s="404">
        <f t="shared" si="2"/>
        <v>229784.54</v>
      </c>
    </row>
    <row r="178" spans="1:5" x14ac:dyDescent="0.15">
      <c r="A178" s="403">
        <v>689</v>
      </c>
      <c r="B178" s="403">
        <v>11</v>
      </c>
      <c r="C178" s="403">
        <v>1231</v>
      </c>
      <c r="D178" s="404">
        <v>39236.18</v>
      </c>
      <c r="E178" s="404">
        <f t="shared" si="2"/>
        <v>78472.36</v>
      </c>
    </row>
    <row r="179" spans="1:5" x14ac:dyDescent="0.15">
      <c r="A179" s="403">
        <v>360</v>
      </c>
      <c r="B179" s="403">
        <v>258</v>
      </c>
      <c r="C179" s="403">
        <v>3301</v>
      </c>
      <c r="D179" s="404">
        <v>54914.91</v>
      </c>
      <c r="E179" s="404">
        <f t="shared" si="2"/>
        <v>109829.82</v>
      </c>
    </row>
    <row r="180" spans="1:5" x14ac:dyDescent="0.15">
      <c r="A180" s="403">
        <v>690</v>
      </c>
      <c r="B180" s="403">
        <v>11</v>
      </c>
      <c r="C180" s="403">
        <v>1231</v>
      </c>
      <c r="D180" s="404">
        <v>39236.18</v>
      </c>
      <c r="E180" s="404">
        <f t="shared" si="2"/>
        <v>78472.36</v>
      </c>
    </row>
    <row r="181" spans="1:5" x14ac:dyDescent="0.15">
      <c r="A181" s="403">
        <v>360</v>
      </c>
      <c r="B181" s="403">
        <v>258</v>
      </c>
      <c r="C181" s="403">
        <v>3301</v>
      </c>
      <c r="D181" s="404">
        <v>54914.91</v>
      </c>
      <c r="E181" s="404">
        <f t="shared" si="2"/>
        <v>109829.82</v>
      </c>
    </row>
    <row r="182" spans="1:5" x14ac:dyDescent="0.15">
      <c r="A182" s="403">
        <v>691</v>
      </c>
      <c r="B182" s="403">
        <v>11</v>
      </c>
      <c r="C182" s="403">
        <v>1231</v>
      </c>
      <c r="D182" s="404">
        <v>45827.75</v>
      </c>
      <c r="E182" s="404">
        <f t="shared" si="2"/>
        <v>91655.5</v>
      </c>
    </row>
    <row r="183" spans="1:5" x14ac:dyDescent="0.15">
      <c r="A183" s="403">
        <v>360</v>
      </c>
      <c r="B183" s="403">
        <v>258</v>
      </c>
      <c r="C183" s="403">
        <v>3301</v>
      </c>
      <c r="D183" s="404">
        <v>64140.46</v>
      </c>
      <c r="E183" s="404">
        <f t="shared" si="2"/>
        <v>128280.92</v>
      </c>
    </row>
    <row r="184" spans="1:5" x14ac:dyDescent="0.15">
      <c r="A184" s="403">
        <v>692</v>
      </c>
      <c r="B184" s="403">
        <v>11</v>
      </c>
      <c r="C184" s="403">
        <v>1231</v>
      </c>
      <c r="D184" s="404">
        <v>45827.75</v>
      </c>
      <c r="E184" s="404">
        <f t="shared" si="2"/>
        <v>91655.5</v>
      </c>
    </row>
    <row r="185" spans="1:5" x14ac:dyDescent="0.15">
      <c r="A185" s="403">
        <v>360</v>
      </c>
      <c r="B185" s="403">
        <v>258</v>
      </c>
      <c r="C185" s="403">
        <v>3301</v>
      </c>
      <c r="D185" s="404">
        <v>64140.46</v>
      </c>
      <c r="E185" s="404">
        <f t="shared" si="2"/>
        <v>128280.92</v>
      </c>
    </row>
    <row r="186" spans="1:5" x14ac:dyDescent="0.15">
      <c r="A186" s="403">
        <v>693</v>
      </c>
      <c r="B186" s="403">
        <v>11</v>
      </c>
      <c r="C186" s="403">
        <v>1231</v>
      </c>
      <c r="D186" s="404">
        <v>41050.620000000003</v>
      </c>
      <c r="E186" s="404">
        <f t="shared" si="2"/>
        <v>82101.240000000005</v>
      </c>
    </row>
    <row r="187" spans="1:5" x14ac:dyDescent="0.15">
      <c r="A187" s="403">
        <v>360</v>
      </c>
      <c r="B187" s="403">
        <v>258</v>
      </c>
      <c r="C187" s="403">
        <v>3301</v>
      </c>
      <c r="D187" s="404">
        <v>57454.400000000001</v>
      </c>
      <c r="E187" s="404">
        <f t="shared" si="2"/>
        <v>114908.8</v>
      </c>
    </row>
    <row r="188" spans="1:5" x14ac:dyDescent="0.15">
      <c r="A188" s="403">
        <v>694</v>
      </c>
      <c r="B188" s="403">
        <v>11</v>
      </c>
      <c r="C188" s="403">
        <v>1231</v>
      </c>
      <c r="D188" s="404">
        <v>41050.620000000003</v>
      </c>
      <c r="E188" s="404">
        <f t="shared" si="2"/>
        <v>82101.240000000005</v>
      </c>
    </row>
    <row r="189" spans="1:5" x14ac:dyDescent="0.15">
      <c r="A189" s="403">
        <v>360</v>
      </c>
      <c r="B189" s="403">
        <v>258</v>
      </c>
      <c r="C189" s="403">
        <v>3301</v>
      </c>
      <c r="D189" s="404">
        <v>57454.400000000001</v>
      </c>
      <c r="E189" s="404">
        <f t="shared" si="2"/>
        <v>114908.8</v>
      </c>
    </row>
    <row r="190" spans="1:5" x14ac:dyDescent="0.15">
      <c r="A190" s="403">
        <v>695</v>
      </c>
      <c r="B190" s="403">
        <v>11</v>
      </c>
      <c r="C190" s="403">
        <v>1231</v>
      </c>
      <c r="D190" s="404">
        <v>27869.119999999999</v>
      </c>
      <c r="E190" s="404">
        <f t="shared" si="2"/>
        <v>55738.239999999998</v>
      </c>
    </row>
    <row r="191" spans="1:5" x14ac:dyDescent="0.15">
      <c r="A191" s="403">
        <v>360</v>
      </c>
      <c r="B191" s="403">
        <v>258</v>
      </c>
      <c r="C191" s="403">
        <v>3301</v>
      </c>
      <c r="D191" s="404">
        <v>39005.589999999997</v>
      </c>
      <c r="E191" s="404">
        <f t="shared" si="2"/>
        <v>78011.179999999993</v>
      </c>
    </row>
    <row r="192" spans="1:5" x14ac:dyDescent="0.15">
      <c r="A192" s="403">
        <v>696</v>
      </c>
      <c r="B192" s="403">
        <v>11</v>
      </c>
      <c r="C192" s="403">
        <v>1231</v>
      </c>
      <c r="D192" s="404">
        <v>27869.119999999999</v>
      </c>
      <c r="E192" s="404">
        <f t="shared" si="2"/>
        <v>55738.239999999998</v>
      </c>
    </row>
    <row r="193" spans="1:5" x14ac:dyDescent="0.15">
      <c r="A193" s="403">
        <v>360</v>
      </c>
      <c r="B193" s="403">
        <v>258</v>
      </c>
      <c r="C193" s="403">
        <v>3301</v>
      </c>
      <c r="D193" s="404">
        <v>39005.589999999997</v>
      </c>
      <c r="E193" s="404">
        <f t="shared" si="2"/>
        <v>78011.179999999993</v>
      </c>
    </row>
    <row r="194" spans="1:5" x14ac:dyDescent="0.15">
      <c r="A194" s="403">
        <v>697</v>
      </c>
      <c r="B194" s="403">
        <v>11</v>
      </c>
      <c r="C194" s="403">
        <v>1231</v>
      </c>
      <c r="D194" s="404">
        <v>27869.119999999999</v>
      </c>
      <c r="E194" s="404">
        <f t="shared" si="2"/>
        <v>55738.239999999998</v>
      </c>
    </row>
    <row r="195" spans="1:5" x14ac:dyDescent="0.15">
      <c r="A195" s="403">
        <v>360</v>
      </c>
      <c r="B195" s="403">
        <v>258</v>
      </c>
      <c r="C195" s="403">
        <v>3301</v>
      </c>
      <c r="D195" s="404">
        <v>39005.589999999997</v>
      </c>
      <c r="E195" s="404">
        <f t="shared" ref="E195:E199" si="3">+D195*2</f>
        <v>78011.179999999993</v>
      </c>
    </row>
    <row r="196" spans="1:5" x14ac:dyDescent="0.15">
      <c r="A196" s="403">
        <v>698</v>
      </c>
      <c r="B196" s="403">
        <v>11</v>
      </c>
      <c r="C196" s="403">
        <v>1231</v>
      </c>
      <c r="D196" s="404">
        <v>27869.119999999999</v>
      </c>
      <c r="E196" s="404">
        <f t="shared" si="3"/>
        <v>55738.239999999998</v>
      </c>
    </row>
    <row r="197" spans="1:5" x14ac:dyDescent="0.15">
      <c r="A197" s="403">
        <v>360</v>
      </c>
      <c r="B197" s="403">
        <v>258</v>
      </c>
      <c r="C197" s="403">
        <v>3301</v>
      </c>
      <c r="D197" s="404">
        <v>39005.589999999997</v>
      </c>
      <c r="E197" s="404">
        <f t="shared" si="3"/>
        <v>78011.179999999993</v>
      </c>
    </row>
    <row r="198" spans="1:5" x14ac:dyDescent="0.15">
      <c r="A198" s="403">
        <v>699</v>
      </c>
      <c r="B198" s="403">
        <v>11</v>
      </c>
      <c r="C198" s="403">
        <v>1231</v>
      </c>
      <c r="D198" s="404">
        <v>59670.03</v>
      </c>
      <c r="E198" s="404">
        <f t="shared" si="3"/>
        <v>119340.06</v>
      </c>
    </row>
    <row r="199" spans="1:5" x14ac:dyDescent="0.15">
      <c r="A199" s="403">
        <v>360</v>
      </c>
      <c r="B199" s="403">
        <v>258</v>
      </c>
      <c r="C199" s="403">
        <v>3301</v>
      </c>
      <c r="D199" s="404">
        <v>83514.09</v>
      </c>
      <c r="E199" s="404">
        <f t="shared" si="3"/>
        <v>167028.18</v>
      </c>
    </row>
  </sheetData>
  <autoFilter ref="A1:G199" xr:uid="{00000000-0009-0000-0000-00000D000000}"/>
  <sortState xmlns:xlrd2="http://schemas.microsoft.com/office/spreadsheetml/2017/richdata2" ref="A2:G199">
    <sortCondition ref="A2:A199"/>
    <sortCondition ref="B2:B199"/>
  </sortState>
  <customSheetViews>
    <customSheetView guid="{85BAD813-6002-444C-94EE-85A3EFC799A5}" showAutoFilter="1">
      <selection activeCell="C1" sqref="C1"/>
      <pageMargins left="0.7" right="0.7" top="0.75" bottom="0.75" header="0.3" footer="0.3"/>
      <pageSetup paperSize="9" orientation="portrait" horizontalDpi="300" verticalDpi="300" r:id="rId1"/>
      <autoFilter ref="A1:G199" xr:uid="{00000000-0009-0000-0000-00000D000000}"/>
    </customSheetView>
    <customSheetView guid="{DF69299D-7752-4436-A45D-28F739CEE21B}" showAutoFilter="1">
      <selection activeCell="C1" sqref="C1"/>
      <pageMargins left="0.7" right="0.7" top="0.75" bottom="0.75" header="0.3" footer="0.3"/>
      <pageSetup paperSize="9" orientation="portrait" horizontalDpi="300" verticalDpi="300" r:id="rId2"/>
      <autoFilter ref="A1:G199" xr:uid="{00000000-0000-0000-0000-000000000000}"/>
    </customSheetView>
    <customSheetView guid="{6C0BD6A7-6718-429D-82D9-D2FE0341EA2C}" showAutoFilter="1">
      <selection activeCell="C1" sqref="C1"/>
      <pageMargins left="0.7" right="0.7" top="0.75" bottom="0.75" header="0.3" footer="0.3"/>
      <pageSetup paperSize="9" orientation="portrait" horizontalDpi="300" verticalDpi="300" r:id="rId3"/>
      <autoFilter ref="A1:G199" xr:uid="{00000000-0000-0000-0000-000000000000}"/>
    </customSheetView>
    <customSheetView guid="{594C4AB0-8D5F-4373-9663-410F4413FE3A}" showPageBreaks="1" showAutoFilter="1" topLeftCell="A190">
      <selection activeCell="C2" sqref="C2"/>
      <pageMargins left="0.7" right="0.7" top="0.75" bottom="0.75" header="0.3" footer="0.3"/>
      <pageSetup paperSize="9" orientation="portrait" horizontalDpi="300" verticalDpi="300" r:id="rId4"/>
      <autoFilter ref="A1:G199" xr:uid="{00000000-0000-0000-0000-000000000000}"/>
    </customSheetView>
  </customSheetViews>
  <pageMargins left="0.7" right="0.7" top="0.75" bottom="0.75" header="0.3" footer="0.3"/>
  <pageSetup paperSize="9" orientation="portrait" horizontalDpi="300" verticalDpi="300"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"/>
  <sheetViews>
    <sheetView workbookViewId="0"/>
  </sheetViews>
  <sheetFormatPr defaultRowHeight="12.75" x14ac:dyDescent="0.2"/>
  <sheetData/>
  <customSheetViews>
    <customSheetView guid="{85BAD813-6002-444C-94EE-85A3EFC799A5}">
      <pageMargins left="0.7" right="0.7" top="0.75" bottom="0.75" header="0.3" footer="0.3"/>
      <pageSetup paperSize="9" orientation="portrait" r:id="rId1"/>
    </customSheetView>
    <customSheetView guid="{DF69299D-7752-4436-A45D-28F739CEE21B}">
      <pageMargins left="0.7" right="0.7" top="0.75" bottom="0.75" header="0.3" footer="0.3"/>
      <pageSetup paperSize="9" orientation="portrait" r:id="rId2"/>
    </customSheetView>
    <customSheetView guid="{6C0BD6A7-6718-429D-82D9-D2FE0341EA2C}">
      <pageMargins left="0.7" right="0.7" top="0.75" bottom="0.75" header="0.3" footer="0.3"/>
      <pageSetup paperSize="9" orientation="portrait" r:id="rId3"/>
    </customSheetView>
    <customSheetView guid="{594C4AB0-8D5F-4373-9663-410F4413FE3A}" showPageBreaks="1">
      <pageMargins left="0.7" right="0.7" top="0.75" bottom="0.75" header="0.3" footer="0.3"/>
      <pageSetup paperSize="9" orientation="portrait" r:id="rId4"/>
    </customSheetView>
  </customSheetView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indexed="41"/>
  </sheetPr>
  <dimension ref="A1:T122"/>
  <sheetViews>
    <sheetView view="pageBreakPreview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9.140625" defaultRowHeight="11.25" x14ac:dyDescent="0.2"/>
  <cols>
    <col min="1" max="1" width="20.85546875" style="2" customWidth="1"/>
    <col min="2" max="2" width="9.28515625" style="2" bestFit="1" customWidth="1"/>
    <col min="3" max="3" width="3.85546875" style="6" bestFit="1" customWidth="1"/>
    <col min="4" max="4" width="7.85546875" style="17" bestFit="1" customWidth="1"/>
    <col min="5" max="5" width="11.28515625" style="2" bestFit="1" customWidth="1"/>
    <col min="6" max="6" width="15.7109375" style="2" customWidth="1"/>
    <col min="7" max="7" width="10.140625" style="2" bestFit="1" customWidth="1"/>
    <col min="8" max="8" width="10.42578125" style="2" bestFit="1" customWidth="1"/>
    <col min="9" max="9" width="11.5703125" style="2" customWidth="1"/>
    <col min="10" max="10" width="15.7109375" style="2" customWidth="1"/>
    <col min="11" max="11" width="10.140625" style="2" bestFit="1" customWidth="1"/>
    <col min="12" max="12" width="10.42578125" style="2" bestFit="1" customWidth="1"/>
    <col min="13" max="13" width="11.28515625" style="2" bestFit="1" customWidth="1"/>
    <col min="14" max="14" width="10.140625" style="2" bestFit="1" customWidth="1"/>
    <col min="15" max="15" width="11.28515625" style="2" bestFit="1" customWidth="1"/>
    <col min="16" max="16" width="8.28515625" style="15" hidden="1" customWidth="1"/>
    <col min="17" max="17" width="7" style="29" bestFit="1" customWidth="1"/>
    <col min="18" max="16384" width="9.140625" style="2"/>
  </cols>
  <sheetData>
    <row r="1" spans="1:20" x14ac:dyDescent="0.2">
      <c r="A1" s="18" t="s">
        <v>1510</v>
      </c>
      <c r="D1" s="17" t="s">
        <v>596</v>
      </c>
    </row>
    <row r="3" spans="1:20" s="18" customFormat="1" ht="33" customHeight="1" x14ac:dyDescent="0.2">
      <c r="A3" s="332" t="s">
        <v>0</v>
      </c>
      <c r="B3" s="332" t="s">
        <v>1</v>
      </c>
      <c r="C3" s="333" t="s">
        <v>2</v>
      </c>
      <c r="D3" s="334" t="s">
        <v>3</v>
      </c>
      <c r="E3" s="335" t="s">
        <v>177</v>
      </c>
      <c r="F3" s="335" t="s">
        <v>1501</v>
      </c>
      <c r="G3" s="335" t="s">
        <v>178</v>
      </c>
      <c r="H3" s="335" t="s">
        <v>179</v>
      </c>
      <c r="I3" s="335" t="s">
        <v>184</v>
      </c>
      <c r="J3" s="335" t="s">
        <v>180</v>
      </c>
      <c r="K3" s="335" t="s">
        <v>181</v>
      </c>
      <c r="L3" s="336" t="str">
        <f>+mayor!L3</f>
        <v>INTEREST</v>
      </c>
      <c r="M3" s="337" t="s">
        <v>12</v>
      </c>
      <c r="N3" s="335" t="s">
        <v>183</v>
      </c>
      <c r="O3" s="335" t="s">
        <v>182</v>
      </c>
      <c r="P3" s="338" t="s">
        <v>85</v>
      </c>
      <c r="Q3" s="339" t="s">
        <v>11</v>
      </c>
    </row>
    <row r="4" spans="1:20" s="10" customFormat="1" ht="17.25" customHeight="1" x14ac:dyDescent="0.2">
      <c r="A4" s="63"/>
      <c r="B4" s="63"/>
      <c r="C4" s="87"/>
      <c r="D4" s="88"/>
      <c r="E4" s="89"/>
      <c r="F4" s="89"/>
      <c r="G4" s="89"/>
      <c r="H4" s="89"/>
      <c r="I4" s="89"/>
      <c r="J4" s="89"/>
      <c r="K4" s="89"/>
      <c r="L4" s="89"/>
      <c r="M4" s="63"/>
      <c r="N4" s="89"/>
      <c r="O4" s="89"/>
      <c r="P4" s="24"/>
      <c r="Q4" s="44"/>
    </row>
    <row r="6" spans="1:20" s="18" customFormat="1" ht="12" thickBot="1" x14ac:dyDescent="0.25">
      <c r="A6" s="35"/>
      <c r="B6" s="35"/>
      <c r="C6" s="39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36"/>
    </row>
    <row r="7" spans="1:20" ht="12" thickBot="1" x14ac:dyDescent="0.25">
      <c r="A7" s="330" t="s">
        <v>10</v>
      </c>
      <c r="B7" s="331" t="s">
        <v>481</v>
      </c>
      <c r="D7" s="568" t="s">
        <v>672</v>
      </c>
      <c r="E7" s="569"/>
      <c r="F7" s="570"/>
    </row>
    <row r="8" spans="1:20" x14ac:dyDescent="0.2">
      <c r="Q8" s="21"/>
    </row>
    <row r="9" spans="1:20" s="9" customFormat="1" x14ac:dyDescent="0.2">
      <c r="A9" s="61" t="str">
        <f>+'1-10'!C25</f>
        <v>ISUZU KB200i 2x4  [034]</v>
      </c>
      <c r="B9" s="61" t="str">
        <f>+'1-10'!R25</f>
        <v>CMB 481 L</v>
      </c>
      <c r="C9" s="54">
        <v>624</v>
      </c>
      <c r="D9" s="46">
        <v>60000</v>
      </c>
      <c r="E9" s="62">
        <f>+D9/P9*(CALC!$A$4)*1.1</f>
        <v>158320.8395802099</v>
      </c>
      <c r="F9" s="37">
        <v>3000</v>
      </c>
      <c r="G9" s="37">
        <f>5482*(1+CALC!$A$2)</f>
        <v>3974.45</v>
      </c>
      <c r="H9" s="37">
        <v>35000</v>
      </c>
      <c r="I9" s="37">
        <f>11166.61</f>
        <v>11166.61</v>
      </c>
      <c r="J9" s="37"/>
      <c r="K9" s="37">
        <v>960</v>
      </c>
      <c r="L9" s="37"/>
      <c r="M9" s="37">
        <f>SUM(E9:L9)</f>
        <v>212421.89958020992</v>
      </c>
      <c r="N9" s="32">
        <f>M9/CALC!$A$8*CALC!$A$6</f>
        <v>8083.6387984253597</v>
      </c>
      <c r="O9" s="37">
        <f>+M9+N9</f>
        <v>220505.53837863528</v>
      </c>
      <c r="P9" s="48">
        <v>6.67</v>
      </c>
      <c r="Q9" s="49"/>
      <c r="R9" s="25"/>
      <c r="S9" s="25"/>
      <c r="T9" s="25"/>
    </row>
    <row r="10" spans="1:20" x14ac:dyDescent="0.2">
      <c r="A10" s="12"/>
      <c r="B10" s="12"/>
      <c r="C10" s="19"/>
      <c r="D10" s="8"/>
      <c r="E10" s="30"/>
      <c r="F10" s="13"/>
      <c r="G10" s="13"/>
      <c r="H10" s="13"/>
      <c r="I10" s="13">
        <v>0</v>
      </c>
      <c r="J10" s="13"/>
      <c r="K10" s="13"/>
      <c r="L10" s="13"/>
      <c r="M10" s="13"/>
      <c r="N10" s="13"/>
      <c r="O10" s="13"/>
      <c r="P10" s="31"/>
      <c r="Q10" s="21"/>
    </row>
    <row r="11" spans="1:20" x14ac:dyDescent="0.2">
      <c r="A11" s="12"/>
      <c r="B11" s="12"/>
      <c r="C11" s="19"/>
      <c r="D11" s="8"/>
      <c r="E11" s="13"/>
      <c r="F11" s="13"/>
      <c r="G11" s="13"/>
      <c r="H11" s="13"/>
      <c r="I11" s="13">
        <v>0</v>
      </c>
      <c r="J11" s="13"/>
      <c r="K11" s="13"/>
      <c r="L11" s="13"/>
      <c r="M11" s="13"/>
      <c r="N11" s="13"/>
      <c r="O11" s="13"/>
      <c r="P11" s="31"/>
      <c r="Q11" s="21"/>
    </row>
    <row r="12" spans="1:20" s="18" customFormat="1" x14ac:dyDescent="0.2">
      <c r="A12" s="35"/>
      <c r="B12" s="4" t="s">
        <v>14</v>
      </c>
      <c r="C12" s="26"/>
      <c r="D12" s="16">
        <f t="shared" ref="D12:M12" si="0">SUM(D9:D11)</f>
        <v>60000</v>
      </c>
      <c r="E12" s="14">
        <f t="shared" si="0"/>
        <v>158320.8395802099</v>
      </c>
      <c r="F12" s="14">
        <f t="shared" si="0"/>
        <v>3000</v>
      </c>
      <c r="G12" s="14">
        <f t="shared" si="0"/>
        <v>3974.45</v>
      </c>
      <c r="H12" s="14">
        <f t="shared" si="0"/>
        <v>35000</v>
      </c>
      <c r="I12" s="14">
        <f>+I9</f>
        <v>11166.61</v>
      </c>
      <c r="J12" s="14">
        <f t="shared" si="0"/>
        <v>0</v>
      </c>
      <c r="K12" s="14">
        <f t="shared" si="0"/>
        <v>960</v>
      </c>
      <c r="L12" s="14"/>
      <c r="M12" s="14">
        <f t="shared" si="0"/>
        <v>212421.89958020992</v>
      </c>
      <c r="N12" s="14">
        <f>M12/CALC!$A$8*CALC!$A$6</f>
        <v>8083.6387984253597</v>
      </c>
      <c r="O12" s="14">
        <f>+M12+N12</f>
        <v>220505.53837863528</v>
      </c>
      <c r="P12" s="33"/>
      <c r="Q12" s="135">
        <f>(+O12/D12)*(1+CALC!$A$3)</f>
        <v>3.6750923063105878</v>
      </c>
    </row>
    <row r="13" spans="1:20" x14ac:dyDescent="0.2">
      <c r="Q13" s="21"/>
    </row>
    <row r="14" spans="1:20" ht="12" thickBot="1" x14ac:dyDescent="0.25">
      <c r="Q14" s="21"/>
    </row>
    <row r="15" spans="1:20" ht="12" thickBot="1" x14ac:dyDescent="0.25">
      <c r="B15" s="101" t="s">
        <v>14</v>
      </c>
      <c r="C15" s="102"/>
      <c r="D15" s="103">
        <f>+D16</f>
        <v>60000</v>
      </c>
      <c r="E15" s="358">
        <f>+E16</f>
        <v>158320.8395802099</v>
      </c>
      <c r="F15" s="358">
        <f>+F16</f>
        <v>3000</v>
      </c>
      <c r="G15" s="358">
        <f>+G16</f>
        <v>3974.45</v>
      </c>
      <c r="H15" s="358">
        <f t="shared" ref="H15:O15" si="1">+H16</f>
        <v>35000</v>
      </c>
      <c r="I15" s="358">
        <f t="shared" si="1"/>
        <v>11166.61</v>
      </c>
      <c r="J15" s="358">
        <f t="shared" si="1"/>
        <v>0</v>
      </c>
      <c r="K15" s="358">
        <f t="shared" si="1"/>
        <v>960</v>
      </c>
      <c r="L15" s="104">
        <f t="shared" si="1"/>
        <v>0</v>
      </c>
      <c r="M15" s="104">
        <f t="shared" si="1"/>
        <v>212421.89958020992</v>
      </c>
      <c r="N15" s="104">
        <f t="shared" si="1"/>
        <v>8083.6387984253597</v>
      </c>
      <c r="O15" s="104">
        <f t="shared" si="1"/>
        <v>220505.53837863528</v>
      </c>
    </row>
    <row r="16" spans="1:20" s="18" customFormat="1" ht="12" thickBot="1" x14ac:dyDescent="0.25">
      <c r="A16" s="42" t="s">
        <v>196</v>
      </c>
      <c r="B16" s="73" t="s">
        <v>14</v>
      </c>
      <c r="C16" s="74"/>
      <c r="D16" s="99">
        <f t="shared" ref="D16:J16" si="2">+D12</f>
        <v>60000</v>
      </c>
      <c r="E16" s="359">
        <f t="shared" si="2"/>
        <v>158320.8395802099</v>
      </c>
      <c r="F16" s="359">
        <f t="shared" si="2"/>
        <v>3000</v>
      </c>
      <c r="G16" s="359">
        <f t="shared" si="2"/>
        <v>3974.45</v>
      </c>
      <c r="H16" s="359">
        <f t="shared" si="2"/>
        <v>35000</v>
      </c>
      <c r="I16" s="359">
        <f t="shared" si="2"/>
        <v>11166.61</v>
      </c>
      <c r="J16" s="359">
        <f t="shared" si="2"/>
        <v>0</v>
      </c>
      <c r="K16" s="359">
        <f t="shared" ref="K16:O16" si="3">+K12</f>
        <v>960</v>
      </c>
      <c r="L16" s="100">
        <f t="shared" si="3"/>
        <v>0</v>
      </c>
      <c r="M16" s="100">
        <f t="shared" si="3"/>
        <v>212421.89958020992</v>
      </c>
      <c r="N16" s="100">
        <f t="shared" si="3"/>
        <v>8083.6387984253597</v>
      </c>
      <c r="O16" s="100">
        <f t="shared" si="3"/>
        <v>220505.53837863528</v>
      </c>
      <c r="P16" s="43"/>
      <c r="Q16" s="43"/>
    </row>
    <row r="18" spans="4:15" x14ac:dyDescent="0.2">
      <c r="D18" s="17">
        <f>+D12</f>
        <v>60000</v>
      </c>
      <c r="E18" s="17">
        <f t="shared" ref="E18:O18" si="4">+E12</f>
        <v>158320.8395802099</v>
      </c>
      <c r="F18" s="17">
        <f t="shared" si="4"/>
        <v>3000</v>
      </c>
      <c r="G18" s="17">
        <f t="shared" si="4"/>
        <v>3974.45</v>
      </c>
      <c r="H18" s="17">
        <f t="shared" si="4"/>
        <v>35000</v>
      </c>
      <c r="I18" s="17">
        <f t="shared" si="4"/>
        <v>11166.61</v>
      </c>
      <c r="J18" s="17">
        <f t="shared" si="4"/>
        <v>0</v>
      </c>
      <c r="K18" s="17">
        <f t="shared" si="4"/>
        <v>960</v>
      </c>
      <c r="L18" s="17">
        <f t="shared" si="4"/>
        <v>0</v>
      </c>
      <c r="M18" s="17">
        <f t="shared" si="4"/>
        <v>212421.89958020992</v>
      </c>
      <c r="N18" s="17">
        <f t="shared" si="4"/>
        <v>8083.6387984253597</v>
      </c>
      <c r="O18" s="17">
        <f t="shared" si="4"/>
        <v>220505.53837863528</v>
      </c>
    </row>
    <row r="23" spans="4:15" x14ac:dyDescent="0.2">
      <c r="F23" s="58"/>
      <c r="G23" s="58"/>
    </row>
    <row r="26" spans="4:15" x14ac:dyDescent="0.2">
      <c r="F26" s="15"/>
      <c r="G26" s="15"/>
    </row>
    <row r="122" spans="6:6" x14ac:dyDescent="0.2">
      <c r="F122" s="2">
        <f>SUM(F113:F121)</f>
        <v>0</v>
      </c>
    </row>
  </sheetData>
  <customSheetViews>
    <customSheetView guid="{85BAD813-6002-444C-94EE-85A3EFC799A5}" showPageBreaks="1" printArea="1" hiddenColumns="1" view="pageBreakPreview">
      <pane xSplit="3" ySplit="3" topLeftCell="D4" activePane="bottomRight" state="frozen"/>
      <selection pane="bottomRight"/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DF69299D-7752-4436-A45D-28F739CEE21B}" showPageBreaks="1" printArea="1" hiddenColumns="1" view="pageBreakPreview">
      <pane xSplit="3" ySplit="3" topLeftCell="D4" activePane="bottomRight" state="frozen"/>
      <selection pane="bottomRight" activeCell="K10" sqref="K10"/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6C0BD6A7-6718-429D-82D9-D2FE0341EA2C}" showPageBreaks="1" printArea="1" hiddenColumns="1" view="pageBreakPreview">
      <pane xSplit="3" ySplit="3" topLeftCell="D4" activePane="bottomRight" state="frozen"/>
      <selection pane="bottomRight" activeCell="H10" sqref="H10"/>
      <pageMargins left="0" right="0" top="0" bottom="0" header="0.31496062992125984" footer="0.31496062992125984"/>
      <pageSetup paperSize="8" scale="85" orientation="landscape" r:id="rId3"/>
      <headerFooter alignWithMargins="0"/>
    </customSheetView>
    <customSheetView guid="{594C4AB0-8D5F-4373-9663-410F4413FE3A}" showPageBreaks="1" printArea="1" hiddenColumns="1" view="pageBreakPreview">
      <pane xSplit="3" ySplit="3" topLeftCell="D10" activePane="bottomRight" state="frozen"/>
      <selection pane="bottomRight" activeCell="F10" sqref="F10"/>
      <pageMargins left="0" right="0" top="0" bottom="0" header="0.31496062992125984" footer="0.31496062992125984"/>
      <pageSetup paperSize="8" scale="85" orientation="landscape" r:id="rId4"/>
      <headerFooter alignWithMargins="0"/>
    </customSheetView>
  </customSheetViews>
  <mergeCells count="1">
    <mergeCell ref="D7:F7"/>
  </mergeCells>
  <phoneticPr fontId="0" type="noConversion"/>
  <pageMargins left="0" right="0" top="0" bottom="0" header="0.31496062992125984" footer="0.31496062992125984"/>
  <pageSetup paperSize="8" scale="85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indexed="11"/>
  </sheetPr>
  <dimension ref="A1:T127"/>
  <sheetViews>
    <sheetView view="pageBreakPreview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9.140625" defaultRowHeight="11.25" x14ac:dyDescent="0.2"/>
  <cols>
    <col min="1" max="1" width="16.140625" style="2" customWidth="1"/>
    <col min="2" max="2" width="11.28515625" style="2" bestFit="1" customWidth="1"/>
    <col min="3" max="3" width="4.42578125" style="6" bestFit="1" customWidth="1"/>
    <col min="4" max="4" width="7.85546875" style="17" bestFit="1" customWidth="1"/>
    <col min="5" max="5" width="11.28515625" style="2" bestFit="1" customWidth="1"/>
    <col min="6" max="6" width="15.7109375" style="2" customWidth="1"/>
    <col min="7" max="9" width="11.28515625" style="2" bestFit="1" customWidth="1"/>
    <col min="10" max="10" width="15.7109375" style="2" hidden="1" customWidth="1"/>
    <col min="11" max="11" width="11.28515625" style="2" customWidth="1"/>
    <col min="12" max="12" width="10.42578125" style="2" bestFit="1" customWidth="1"/>
    <col min="13" max="14" width="11.28515625" style="2" bestFit="1" customWidth="1"/>
    <col min="15" max="15" width="11.28515625" style="2" customWidth="1"/>
    <col min="16" max="16" width="8.28515625" style="15" hidden="1" customWidth="1"/>
    <col min="17" max="17" width="7.85546875" style="29" customWidth="1"/>
    <col min="18" max="19" width="10" style="2" customWidth="1"/>
    <col min="20" max="16384" width="9.140625" style="2"/>
  </cols>
  <sheetData>
    <row r="1" spans="1:20" x14ac:dyDescent="0.2">
      <c r="A1" s="18" t="s">
        <v>1510</v>
      </c>
      <c r="D1" s="17" t="s">
        <v>101</v>
      </c>
    </row>
    <row r="3" spans="1:20" ht="33" customHeight="1" x14ac:dyDescent="0.2">
      <c r="A3" s="340" t="s">
        <v>1</v>
      </c>
      <c r="B3" s="340" t="s">
        <v>0</v>
      </c>
      <c r="C3" s="341" t="s">
        <v>2</v>
      </c>
      <c r="D3" s="342" t="s">
        <v>3</v>
      </c>
      <c r="E3" s="343" t="s">
        <v>187</v>
      </c>
      <c r="F3" s="343" t="s">
        <v>1501</v>
      </c>
      <c r="G3" s="343" t="s">
        <v>178</v>
      </c>
      <c r="H3" s="343" t="s">
        <v>179</v>
      </c>
      <c r="I3" s="343" t="s">
        <v>184</v>
      </c>
      <c r="J3" s="343" t="s">
        <v>180</v>
      </c>
      <c r="K3" s="343" t="s">
        <v>181</v>
      </c>
      <c r="L3" s="344" t="str">
        <f>+income!L3</f>
        <v>INTEREST</v>
      </c>
      <c r="M3" s="345" t="s">
        <v>12</v>
      </c>
      <c r="N3" s="343" t="s">
        <v>188</v>
      </c>
      <c r="O3" s="343" t="s">
        <v>182</v>
      </c>
      <c r="P3" s="346" t="s">
        <v>85</v>
      </c>
      <c r="Q3" s="347" t="s">
        <v>11</v>
      </c>
    </row>
    <row r="4" spans="1:20" s="10" customFormat="1" ht="17.25" customHeight="1" x14ac:dyDescent="0.2">
      <c r="A4" s="63"/>
      <c r="B4" s="63"/>
      <c r="C4" s="87"/>
      <c r="D4" s="88"/>
      <c r="E4" s="89"/>
      <c r="F4" s="89"/>
      <c r="G4" s="89"/>
      <c r="H4" s="89"/>
      <c r="I4" s="89"/>
      <c r="J4" s="89"/>
      <c r="K4" s="89"/>
      <c r="L4" s="89"/>
      <c r="M4" s="63"/>
      <c r="N4" s="89"/>
      <c r="O4" s="89"/>
      <c r="P4" s="24"/>
      <c r="Q4" s="44"/>
    </row>
    <row r="5" spans="1:20" ht="12" thickBot="1" x14ac:dyDescent="0.25"/>
    <row r="6" spans="1:20" ht="12" thickBot="1" x14ac:dyDescent="0.25">
      <c r="A6" s="330" t="s">
        <v>10</v>
      </c>
      <c r="B6" s="331" t="s">
        <v>475</v>
      </c>
      <c r="D6" s="568" t="s">
        <v>672</v>
      </c>
      <c r="E6" s="569"/>
      <c r="F6" s="570"/>
      <c r="Q6" s="21"/>
    </row>
    <row r="7" spans="1:20" x14ac:dyDescent="0.2">
      <c r="Q7" s="21"/>
    </row>
    <row r="8" spans="1:20" s="9" customFormat="1" x14ac:dyDescent="0.2">
      <c r="A8" s="322" t="str">
        <f>+'1-10'!C15</f>
        <v>ISUZU KB200i 2x4 [037]</v>
      </c>
      <c r="B8" s="61" t="str">
        <f>+'1-10'!R15</f>
        <v>CMB 428 L</v>
      </c>
      <c r="C8" s="54">
        <v>614</v>
      </c>
      <c r="D8" s="46">
        <v>6300</v>
      </c>
      <c r="E8" s="62">
        <f>+D8/P8*(CALC!$A$4)*1.25</f>
        <v>20000</v>
      </c>
      <c r="F8" s="37">
        <v>3000</v>
      </c>
      <c r="G8" s="37">
        <f>5500*(1+CALC!$A$2)</f>
        <v>3987.5</v>
      </c>
      <c r="H8" s="37">
        <v>35000</v>
      </c>
      <c r="I8" s="37">
        <f>15393.84</f>
        <v>15393.84</v>
      </c>
      <c r="J8" s="37"/>
      <c r="K8" s="37">
        <v>960</v>
      </c>
      <c r="L8" s="37"/>
      <c r="M8" s="37">
        <f>SUM(E8:L8)</f>
        <v>78341.34</v>
      </c>
      <c r="N8" s="37">
        <f>M8/CALC!$A$8*CALC!$A$6</f>
        <v>2981.2514472195771</v>
      </c>
      <c r="O8" s="37">
        <f>+M8+N8</f>
        <v>81322.591447219573</v>
      </c>
      <c r="P8" s="48">
        <v>6.3</v>
      </c>
      <c r="Q8" s="49"/>
    </row>
    <row r="9" spans="1:20" s="9" customFormat="1" x14ac:dyDescent="0.2">
      <c r="A9" s="322" t="str">
        <f>+'1-10'!C12</f>
        <v>ISUZU KB200i 2x4 [036]</v>
      </c>
      <c r="B9" s="61" t="str">
        <f>+'1-10'!R13</f>
        <v>CMB 595 L</v>
      </c>
      <c r="C9" s="54">
        <v>611</v>
      </c>
      <c r="D9" s="46">
        <v>10000</v>
      </c>
      <c r="E9" s="62">
        <f>+D9/P9*(CALC!$A$4)</f>
        <v>23988.005997001499</v>
      </c>
      <c r="F9" s="37">
        <v>3000</v>
      </c>
      <c r="G9" s="37">
        <f>5500*(1+CALC!$A$2)</f>
        <v>3987.5</v>
      </c>
      <c r="H9" s="37">
        <v>35000</v>
      </c>
      <c r="I9" s="567">
        <v>15393.84</v>
      </c>
      <c r="J9" s="37"/>
      <c r="K9" s="37">
        <v>960</v>
      </c>
      <c r="L9" s="37"/>
      <c r="M9" s="37">
        <f>SUM(E9:L9)</f>
        <v>82329.345997001496</v>
      </c>
      <c r="N9" s="32">
        <f>M9/CALC!$A$8*CALC!$A$6</f>
        <v>3133.0135775339309</v>
      </c>
      <c r="O9" s="37">
        <f>+M9+N9</f>
        <v>85462.359574535425</v>
      </c>
      <c r="P9" s="48">
        <v>6.67</v>
      </c>
      <c r="Q9" s="49"/>
      <c r="R9" s="25"/>
      <c r="S9" s="25"/>
      <c r="T9" s="25"/>
    </row>
    <row r="10" spans="1:20" s="9" customFormat="1" x14ac:dyDescent="0.2">
      <c r="A10" s="320" t="str">
        <f>+'1-10'!C27</f>
        <v>ISUZU KB200i 2x4 [037]</v>
      </c>
      <c r="B10" s="61" t="str">
        <f>+'1-10'!R27</f>
        <v>CMB 620 L</v>
      </c>
      <c r="C10" s="54">
        <v>626</v>
      </c>
      <c r="D10" s="46">
        <v>5000</v>
      </c>
      <c r="E10" s="62">
        <f>+D10/P10*(CALC!$A$4)</f>
        <v>11994.00299850075</v>
      </c>
      <c r="F10" s="37">
        <v>3000</v>
      </c>
      <c r="G10" s="37">
        <f>5500*(1+CALC!$A$2)</f>
        <v>3987.5</v>
      </c>
      <c r="H10" s="37">
        <v>35000</v>
      </c>
      <c r="I10" s="37">
        <f>15409.95</f>
        <v>15409.95</v>
      </c>
      <c r="J10" s="37"/>
      <c r="K10" s="37">
        <v>960</v>
      </c>
      <c r="L10" s="37"/>
      <c r="M10" s="37">
        <f t="shared" ref="M10" si="0">SUM(E10:L10)</f>
        <v>70351.452998500754</v>
      </c>
      <c r="N10" s="37">
        <f>M10/CALC!$A$8*CALC!$A$6</f>
        <v>2677.1991781833249</v>
      </c>
      <c r="O10" s="37">
        <f t="shared" ref="O10" si="1">+M10+N10</f>
        <v>73028.652176684074</v>
      </c>
      <c r="P10" s="48">
        <v>6.67</v>
      </c>
      <c r="Q10" s="49"/>
    </row>
    <row r="11" spans="1:20" s="18" customFormat="1" x14ac:dyDescent="0.2">
      <c r="A11" s="35"/>
      <c r="B11" s="4" t="s">
        <v>14</v>
      </c>
      <c r="C11" s="26"/>
      <c r="D11" s="16">
        <f t="shared" ref="D11:M11" si="2">SUM(D8:D10)</f>
        <v>21300</v>
      </c>
      <c r="E11" s="14">
        <f t="shared" si="2"/>
        <v>55982.008995502249</v>
      </c>
      <c r="F11" s="14">
        <f t="shared" si="2"/>
        <v>9000</v>
      </c>
      <c r="G11" s="14">
        <f t="shared" si="2"/>
        <v>11962.5</v>
      </c>
      <c r="H11" s="14">
        <f t="shared" si="2"/>
        <v>105000</v>
      </c>
      <c r="I11" s="14">
        <f t="shared" si="2"/>
        <v>46197.630000000005</v>
      </c>
      <c r="J11" s="32">
        <f t="shared" si="2"/>
        <v>0</v>
      </c>
      <c r="K11" s="14">
        <f>SUM(K8:K10)</f>
        <v>2880</v>
      </c>
      <c r="L11" s="14">
        <f>SUM(L8:L10)</f>
        <v>0</v>
      </c>
      <c r="M11" s="14">
        <f t="shared" si="2"/>
        <v>231022.13899550223</v>
      </c>
      <c r="N11" s="14">
        <f>M11/CALC!$A$8*CALC!$A$6</f>
        <v>8791.4642029368333</v>
      </c>
      <c r="O11" s="14">
        <f>+M11+N11</f>
        <v>239813.60319843906</v>
      </c>
      <c r="P11" s="33"/>
      <c r="Q11" s="135">
        <f>(+O11/D11)*(1+CALC!$A$3)</f>
        <v>11.258854610255355</v>
      </c>
    </row>
    <row r="12" spans="1:20" ht="12" thickBot="1" x14ac:dyDescent="0.25">
      <c r="Q12" s="21"/>
    </row>
    <row r="13" spans="1:20" ht="12" thickBot="1" x14ac:dyDescent="0.25">
      <c r="A13" s="330" t="s">
        <v>10</v>
      </c>
      <c r="B13" s="331" t="s">
        <v>476</v>
      </c>
      <c r="D13" s="568" t="s">
        <v>247</v>
      </c>
      <c r="E13" s="569"/>
      <c r="F13" s="570"/>
      <c r="Q13" s="21"/>
    </row>
    <row r="14" spans="1:20" x14ac:dyDescent="0.2">
      <c r="Q14" s="21"/>
    </row>
    <row r="15" spans="1:20" s="9" customFormat="1" x14ac:dyDescent="0.2">
      <c r="A15" s="323" t="str">
        <f>+'1-10'!C48</f>
        <v>NISSAN NP 300 4X4 [037]</v>
      </c>
      <c r="B15" s="61" t="str">
        <f>+'1-10'!R48</f>
        <v>CLX 118 L</v>
      </c>
      <c r="C15" s="54">
        <v>647</v>
      </c>
      <c r="D15" s="46">
        <v>10000</v>
      </c>
      <c r="E15" s="62">
        <f>+D15/P15*(CALC!$A$4)*1.2</f>
        <v>24365.482233502538</v>
      </c>
      <c r="F15" s="37">
        <v>3000</v>
      </c>
      <c r="G15" s="37">
        <f>5500*(1+CALC!$A$2)</f>
        <v>3987.5</v>
      </c>
      <c r="H15" s="37">
        <v>40000</v>
      </c>
      <c r="I15" s="37">
        <f>21598.32</f>
        <v>21598.32</v>
      </c>
      <c r="J15" s="37"/>
      <c r="K15" s="37">
        <v>1200</v>
      </c>
      <c r="L15" s="37"/>
      <c r="M15" s="37">
        <f>SUM(E15:L15)</f>
        <v>94151.302233502531</v>
      </c>
      <c r="N15" s="32">
        <f>M15/CALC!$A$8*CALC!$A$6</f>
        <v>3582.893859630653</v>
      </c>
      <c r="O15" s="37">
        <f>+M15+N15</f>
        <v>97734.196093133185</v>
      </c>
      <c r="P15" s="48">
        <v>7.88</v>
      </c>
      <c r="Q15" s="49"/>
    </row>
    <row r="16" spans="1:20" s="18" customFormat="1" x14ac:dyDescent="0.2">
      <c r="A16" s="35"/>
      <c r="B16" s="4" t="s">
        <v>14</v>
      </c>
      <c r="C16" s="26"/>
      <c r="D16" s="16">
        <f t="shared" ref="D16:M16" si="3">SUM(D15:D15)</f>
        <v>10000</v>
      </c>
      <c r="E16" s="14">
        <f t="shared" si="3"/>
        <v>24365.482233502538</v>
      </c>
      <c r="F16" s="14">
        <f t="shared" si="3"/>
        <v>3000</v>
      </c>
      <c r="G16" s="14">
        <f t="shared" si="3"/>
        <v>3987.5</v>
      </c>
      <c r="H16" s="14">
        <f t="shared" si="3"/>
        <v>40000</v>
      </c>
      <c r="I16" s="14">
        <f t="shared" si="3"/>
        <v>21598.32</v>
      </c>
      <c r="J16" s="14">
        <f t="shared" si="3"/>
        <v>0</v>
      </c>
      <c r="K16" s="14">
        <f t="shared" si="3"/>
        <v>1200</v>
      </c>
      <c r="L16" s="14">
        <f t="shared" si="3"/>
        <v>0</v>
      </c>
      <c r="M16" s="14">
        <f t="shared" si="3"/>
        <v>94151.302233502531</v>
      </c>
      <c r="N16" s="14">
        <f>M16/CALC!$A$8*CALC!$A$6</f>
        <v>3582.893859630653</v>
      </c>
      <c r="O16" s="14">
        <f>+M16+N16</f>
        <v>97734.196093133185</v>
      </c>
      <c r="P16" s="33"/>
      <c r="Q16" s="135">
        <f>(+O16/D16)*(1+CALC!$A$3)</f>
        <v>9.7734196093133185</v>
      </c>
    </row>
    <row r="17" spans="1:18" x14ac:dyDescent="0.2">
      <c r="Q17" s="21"/>
    </row>
    <row r="18" spans="1:18" ht="12" thickBot="1" x14ac:dyDescent="0.25">
      <c r="Q18" s="21"/>
    </row>
    <row r="19" spans="1:18" s="18" customFormat="1" ht="12" thickBot="1" x14ac:dyDescent="0.25">
      <c r="A19" s="42" t="s">
        <v>103</v>
      </c>
      <c r="B19" s="73" t="s">
        <v>14</v>
      </c>
      <c r="C19" s="74"/>
      <c r="D19" s="75">
        <f t="shared" ref="D19:O19" si="4">+D11+D16</f>
        <v>31300</v>
      </c>
      <c r="E19" s="76">
        <f t="shared" si="4"/>
        <v>80347.49122900478</v>
      </c>
      <c r="F19" s="76">
        <f t="shared" si="4"/>
        <v>12000</v>
      </c>
      <c r="G19" s="76">
        <f t="shared" si="4"/>
        <v>15950</v>
      </c>
      <c r="H19" s="76">
        <f t="shared" si="4"/>
        <v>145000</v>
      </c>
      <c r="I19" s="76">
        <f t="shared" si="4"/>
        <v>67795.950000000012</v>
      </c>
      <c r="J19" s="76">
        <f t="shared" si="4"/>
        <v>0</v>
      </c>
      <c r="K19" s="76">
        <f t="shared" si="4"/>
        <v>4080</v>
      </c>
      <c r="L19" s="76">
        <f t="shared" si="4"/>
        <v>0</v>
      </c>
      <c r="M19" s="76">
        <f t="shared" si="4"/>
        <v>325173.44122900476</v>
      </c>
      <c r="N19" s="76">
        <f t="shared" si="4"/>
        <v>12374.358062567486</v>
      </c>
      <c r="O19" s="77">
        <f t="shared" si="4"/>
        <v>337547.79929157224</v>
      </c>
      <c r="P19" s="43"/>
      <c r="Q19" s="43"/>
    </row>
    <row r="22" spans="1:18" x14ac:dyDescent="0.2">
      <c r="D22" s="17">
        <f t="shared" ref="D22:O22" si="5">+D11+D16</f>
        <v>31300</v>
      </c>
      <c r="E22" s="17">
        <f t="shared" si="5"/>
        <v>80347.49122900478</v>
      </c>
      <c r="F22" s="17">
        <f t="shared" si="5"/>
        <v>12000</v>
      </c>
      <c r="G22" s="17">
        <f t="shared" si="5"/>
        <v>15950</v>
      </c>
      <c r="H22" s="17">
        <f t="shared" si="5"/>
        <v>145000</v>
      </c>
      <c r="I22" s="17">
        <f t="shared" si="5"/>
        <v>67795.950000000012</v>
      </c>
      <c r="J22" s="17">
        <f t="shared" si="5"/>
        <v>0</v>
      </c>
      <c r="K22" s="17">
        <f t="shared" si="5"/>
        <v>4080</v>
      </c>
      <c r="L22" s="17">
        <f t="shared" si="5"/>
        <v>0</v>
      </c>
      <c r="M22" s="17">
        <f t="shared" si="5"/>
        <v>325173.44122900476</v>
      </c>
      <c r="N22" s="17">
        <f t="shared" si="5"/>
        <v>12374.358062567486</v>
      </c>
      <c r="O22" s="17">
        <f t="shared" si="5"/>
        <v>337547.79929157224</v>
      </c>
      <c r="P22" s="17"/>
      <c r="Q22" s="17"/>
      <c r="R22" s="17"/>
    </row>
    <row r="25" spans="1:18" x14ac:dyDescent="0.2">
      <c r="E25" s="58"/>
    </row>
    <row r="27" spans="1:18" x14ac:dyDescent="0.2">
      <c r="E27" s="15"/>
    </row>
    <row r="127" spans="6:6" x14ac:dyDescent="0.2">
      <c r="F127" s="2">
        <f>SUM(F118:F126)</f>
        <v>0</v>
      </c>
    </row>
  </sheetData>
  <customSheetViews>
    <customSheetView guid="{85BAD813-6002-444C-94EE-85A3EFC799A5}" showPageBreaks="1" printArea="1" hiddenColumns="1" view="pageBreakPreview">
      <pane xSplit="3" ySplit="3" topLeftCell="D4" activePane="bottomRight" state="frozen"/>
      <selection pane="bottomRight" activeCell="A2" sqref="A2"/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DF69299D-7752-4436-A45D-28F739CEE21B}" showPageBreaks="1" printArea="1" hiddenColumns="1" view="pageBreakPreview">
      <pane xSplit="3" ySplit="3" topLeftCell="D4" activePane="bottomRight" state="frozen"/>
      <selection pane="bottomRight" activeCell="K1" sqref="K1"/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6C0BD6A7-6718-429D-82D9-D2FE0341EA2C}" showPageBreaks="1" printArea="1" hiddenColumns="1" view="pageBreakPreview">
      <pane xSplit="3" ySplit="3" topLeftCell="D4" activePane="bottomRight" state="frozen"/>
      <selection pane="bottomRight" activeCell="H15" sqref="H15"/>
      <pageMargins left="0" right="0" top="0" bottom="0" header="0.31496062992125984" footer="0.31496062992125984"/>
      <pageSetup paperSize="8" scale="85" orientation="landscape" r:id="rId3"/>
      <headerFooter alignWithMargins="0"/>
    </customSheetView>
    <customSheetView guid="{594C4AB0-8D5F-4373-9663-410F4413FE3A}" showPageBreaks="1" printArea="1" hiddenColumns="1" view="pageBreakPreview">
      <pane xSplit="3" ySplit="3" topLeftCell="D4" activePane="bottomRight" state="frozen"/>
      <selection pane="bottomRight" activeCell="A9" sqref="A9"/>
      <pageMargins left="0" right="0" top="0" bottom="0" header="0.31496062992125984" footer="0.31496062992125984"/>
      <pageSetup paperSize="8" scale="85" orientation="landscape" r:id="rId4"/>
      <headerFooter alignWithMargins="0"/>
    </customSheetView>
  </customSheetViews>
  <mergeCells count="2">
    <mergeCell ref="D6:F6"/>
    <mergeCell ref="D13:F13"/>
  </mergeCells>
  <phoneticPr fontId="0" type="noConversion"/>
  <pageMargins left="0" right="0" top="0" bottom="0" header="0.31496062992125984" footer="0.31496062992125984"/>
  <pageSetup paperSize="8" scale="85" orientation="landscape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6"/>
  </sheetPr>
  <dimension ref="A1:Q452"/>
  <sheetViews>
    <sheetView view="pageBreakPreview" zoomScaleSheetLayoutView="100" workbookViewId="0">
      <pane xSplit="3" ySplit="3" topLeftCell="D31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10" defaultRowHeight="11.25" x14ac:dyDescent="0.2"/>
  <cols>
    <col min="1" max="1" width="19.5703125" style="2" customWidth="1"/>
    <col min="2" max="2" width="10.85546875" style="2" customWidth="1"/>
    <col min="3" max="3" width="3.85546875" style="6" customWidth="1"/>
    <col min="4" max="4" width="8.5703125" style="17" bestFit="1" customWidth="1"/>
    <col min="5" max="5" width="15.140625" style="2" customWidth="1"/>
    <col min="6" max="6" width="10.7109375" style="2" customWidth="1"/>
    <col min="7" max="7" width="12.42578125" style="2" bestFit="1" customWidth="1"/>
    <col min="8" max="9" width="13.140625" style="2" bestFit="1" customWidth="1"/>
    <col min="10" max="10" width="9.5703125" style="9" customWidth="1"/>
    <col min="11" max="12" width="11.28515625" style="2" bestFit="1" customWidth="1"/>
    <col min="13" max="13" width="13.140625" style="2" bestFit="1" customWidth="1"/>
    <col min="14" max="14" width="11.28515625" style="2" bestFit="1" customWidth="1"/>
    <col min="15" max="15" width="13.140625" style="2" bestFit="1" customWidth="1"/>
    <col min="16" max="16" width="8.28515625" style="15" customWidth="1"/>
    <col min="17" max="17" width="7.85546875" style="29" bestFit="1" customWidth="1"/>
    <col min="18" max="16384" width="10" style="2"/>
  </cols>
  <sheetData>
    <row r="1" spans="1:17" ht="12" customHeight="1" x14ac:dyDescent="0.2">
      <c r="A1" s="18" t="s">
        <v>1510</v>
      </c>
      <c r="E1" s="2" t="s">
        <v>102</v>
      </c>
    </row>
    <row r="3" spans="1:17" s="18" customFormat="1" ht="33.75" x14ac:dyDescent="0.2">
      <c r="A3" s="332" t="s">
        <v>1</v>
      </c>
      <c r="B3" s="332" t="s">
        <v>0</v>
      </c>
      <c r="C3" s="333" t="s">
        <v>2</v>
      </c>
      <c r="D3" s="334" t="s">
        <v>3</v>
      </c>
      <c r="E3" s="335" t="s">
        <v>189</v>
      </c>
      <c r="F3" s="335" t="s">
        <v>1501</v>
      </c>
      <c r="G3" s="335" t="s">
        <v>178</v>
      </c>
      <c r="H3" s="335" t="s">
        <v>179</v>
      </c>
      <c r="I3" s="335" t="s">
        <v>184</v>
      </c>
      <c r="J3" s="335" t="s">
        <v>180</v>
      </c>
      <c r="K3" s="335" t="s">
        <v>181</v>
      </c>
      <c r="L3" s="336" t="str">
        <f>+mayor!L3</f>
        <v>INTEREST</v>
      </c>
      <c r="M3" s="337" t="s">
        <v>12</v>
      </c>
      <c r="N3" s="335" t="s">
        <v>183</v>
      </c>
      <c r="O3" s="335" t="s">
        <v>182</v>
      </c>
      <c r="P3" s="338" t="s">
        <v>85</v>
      </c>
      <c r="Q3" s="339" t="s">
        <v>11</v>
      </c>
    </row>
    <row r="4" spans="1:17" ht="12" thickBot="1" x14ac:dyDescent="0.25"/>
    <row r="5" spans="1:17" ht="12" thickBot="1" x14ac:dyDescent="0.25">
      <c r="A5" s="330" t="s">
        <v>10</v>
      </c>
      <c r="B5" s="331" t="s">
        <v>477</v>
      </c>
      <c r="D5" s="568" t="s">
        <v>672</v>
      </c>
      <c r="E5" s="569"/>
      <c r="F5" s="570"/>
    </row>
    <row r="7" spans="1:17" x14ac:dyDescent="0.2">
      <c r="A7" s="12" t="str">
        <f>+'1-10'!C20</f>
        <v>ISUZU KB200i 2x4 [105]</v>
      </c>
      <c r="B7" s="12" t="str">
        <f>+'1-10'!R20</f>
        <v>CMB 593 L</v>
      </c>
      <c r="C7" s="19">
        <v>619</v>
      </c>
      <c r="D7" s="46">
        <v>20000</v>
      </c>
      <c r="E7" s="30">
        <f>+D7/P7*(CALC!$A$4)</f>
        <v>47976.011994002998</v>
      </c>
      <c r="F7" s="13">
        <v>3000</v>
      </c>
      <c r="G7" s="13">
        <f>5482*(1+CALC!$A$2)</f>
        <v>3974.45</v>
      </c>
      <c r="H7" s="13">
        <v>35000</v>
      </c>
      <c r="I7" s="13">
        <v>15393.84</v>
      </c>
      <c r="J7" s="37"/>
      <c r="K7" s="37">
        <v>960</v>
      </c>
      <c r="L7" s="13"/>
      <c r="M7" s="13">
        <f>SUM(E7:L7)</f>
        <v>106304.30199400299</v>
      </c>
      <c r="N7" s="14">
        <f>M7/CALC!$A$8*CALC!$A$6</f>
        <v>4045.3718836732742</v>
      </c>
      <c r="O7" s="13">
        <f>+M7+N7</f>
        <v>110349.67387767626</v>
      </c>
      <c r="P7" s="48">
        <v>6.67</v>
      </c>
      <c r="Q7" s="21"/>
    </row>
    <row r="8" spans="1:17" x14ac:dyDescent="0.2">
      <c r="A8" s="47"/>
      <c r="B8" s="12"/>
      <c r="C8" s="19"/>
      <c r="D8" s="8"/>
      <c r="E8" s="13"/>
      <c r="F8" s="13"/>
      <c r="G8" s="13"/>
      <c r="H8" s="13"/>
      <c r="I8" s="13"/>
      <c r="J8" s="37"/>
      <c r="K8" s="13"/>
      <c r="L8" s="13"/>
      <c r="M8" s="13"/>
      <c r="N8" s="13"/>
      <c r="O8" s="13"/>
      <c r="P8" s="31"/>
      <c r="Q8" s="21"/>
    </row>
    <row r="9" spans="1:17" s="18" customFormat="1" x14ac:dyDescent="0.2">
      <c r="A9" s="35"/>
      <c r="B9" s="4" t="s">
        <v>14</v>
      </c>
      <c r="C9" s="26"/>
      <c r="D9" s="16">
        <f t="shared" ref="D9:M9" si="0">SUM(D7:D8)</f>
        <v>20000</v>
      </c>
      <c r="E9" s="14">
        <f t="shared" si="0"/>
        <v>47976.011994002998</v>
      </c>
      <c r="F9" s="14">
        <f t="shared" si="0"/>
        <v>3000</v>
      </c>
      <c r="G9" s="14">
        <f t="shared" si="0"/>
        <v>3974.45</v>
      </c>
      <c r="H9" s="14">
        <f t="shared" si="0"/>
        <v>35000</v>
      </c>
      <c r="I9" s="14">
        <f t="shared" si="0"/>
        <v>15393.84</v>
      </c>
      <c r="J9" s="32">
        <f t="shared" si="0"/>
        <v>0</v>
      </c>
      <c r="K9" s="14">
        <f t="shared" si="0"/>
        <v>960</v>
      </c>
      <c r="L9" s="14">
        <f>+L7</f>
        <v>0</v>
      </c>
      <c r="M9" s="14">
        <f t="shared" si="0"/>
        <v>106304.30199400299</v>
      </c>
      <c r="N9" s="14">
        <f>+N7</f>
        <v>4045.3718836732742</v>
      </c>
      <c r="O9" s="14">
        <f>+M9+N9</f>
        <v>110349.67387767626</v>
      </c>
      <c r="P9" s="33"/>
      <c r="Q9" s="135">
        <f>(+O9/D9)*(1+CALC!$A$3)</f>
        <v>5.517483693883813</v>
      </c>
    </row>
    <row r="10" spans="1:17" s="18" customFormat="1" ht="12" thickBot="1" x14ac:dyDescent="0.25">
      <c r="A10" s="35"/>
      <c r="B10" s="35"/>
      <c r="C10" s="39"/>
      <c r="D10" s="40"/>
      <c r="E10" s="41"/>
      <c r="F10" s="41"/>
      <c r="G10" s="41"/>
      <c r="H10" s="41"/>
      <c r="I10" s="41"/>
      <c r="J10" s="24"/>
      <c r="K10" s="41"/>
      <c r="L10" s="41"/>
      <c r="M10" s="41"/>
      <c r="N10" s="41"/>
      <c r="O10" s="41"/>
      <c r="P10" s="41"/>
      <c r="Q10" s="36"/>
    </row>
    <row r="11" spans="1:17" ht="12" thickBot="1" x14ac:dyDescent="0.25">
      <c r="A11" s="330" t="s">
        <v>10</v>
      </c>
      <c r="B11" s="331" t="s">
        <v>478</v>
      </c>
      <c r="D11" s="568" t="s">
        <v>673</v>
      </c>
      <c r="E11" s="569"/>
      <c r="F11" s="570"/>
    </row>
    <row r="13" spans="1:17" s="9" customFormat="1" x14ac:dyDescent="0.2">
      <c r="A13" s="61" t="str">
        <f>+'1-10'!C54</f>
        <v>TOYOTA DYNA 150 [105]</v>
      </c>
      <c r="B13" s="61" t="str">
        <f>+'1-10'!R54</f>
        <v>CMN 322 L</v>
      </c>
      <c r="C13" s="54">
        <v>653</v>
      </c>
      <c r="D13" s="46">
        <v>20000</v>
      </c>
      <c r="E13" s="62">
        <f>+D13/P13*(CALC!$A$4)</f>
        <v>45714.285714285717</v>
      </c>
      <c r="F13" s="37">
        <v>3000</v>
      </c>
      <c r="G13" s="37">
        <f>6057.27*(1+CALC!$A$2)</f>
        <v>4391.5207500000006</v>
      </c>
      <c r="H13" s="37">
        <v>35000</v>
      </c>
      <c r="I13" s="37">
        <f>21849.33</f>
        <v>21849.33</v>
      </c>
      <c r="J13" s="37"/>
      <c r="K13" s="37">
        <f>8500</f>
        <v>8500</v>
      </c>
      <c r="L13" s="37"/>
      <c r="M13" s="37">
        <f>SUM(E13:L13)</f>
        <v>118455.13646428572</v>
      </c>
      <c r="N13" s="37">
        <f>M13/CALC!$A$8*CALC!$A$6</f>
        <v>4507.7675083773693</v>
      </c>
      <c r="O13" s="37">
        <f>+M13+N13</f>
        <v>122962.90397266309</v>
      </c>
      <c r="P13" s="48">
        <v>7</v>
      </c>
      <c r="Q13" s="49"/>
    </row>
    <row r="14" spans="1:17" s="9" customFormat="1" x14ac:dyDescent="0.2">
      <c r="A14" s="61" t="str">
        <f>+'1-10'!C55</f>
        <v>TOYOTA DYNA 150 [105]</v>
      </c>
      <c r="B14" s="61" t="str">
        <f>+'1-10'!R55</f>
        <v>CMN 328 L</v>
      </c>
      <c r="C14" s="54">
        <v>654</v>
      </c>
      <c r="D14" s="46">
        <v>15000</v>
      </c>
      <c r="E14" s="62">
        <f>+D14/P14*(CALC!$A$4)</f>
        <v>34285.714285714283</v>
      </c>
      <c r="F14" s="37">
        <v>3000</v>
      </c>
      <c r="G14" s="37">
        <f>6057.27*(1+CALC!$A$2)</f>
        <v>4391.5207500000006</v>
      </c>
      <c r="H14" s="37">
        <v>35000</v>
      </c>
      <c r="I14" s="37">
        <f>21980.73</f>
        <v>21980.73</v>
      </c>
      <c r="J14" s="37"/>
      <c r="K14" s="37">
        <f>8500</f>
        <v>8500</v>
      </c>
      <c r="L14" s="37"/>
      <c r="M14" s="37">
        <f>SUM(E14:L14)</f>
        <v>107157.96503571428</v>
      </c>
      <c r="N14" s="37">
        <f>M14/CALC!$A$8*CALC!$A$6</f>
        <v>4077.8577229318271</v>
      </c>
      <c r="O14" s="37">
        <f>+M14+N14</f>
        <v>111235.82275864611</v>
      </c>
      <c r="P14" s="48">
        <v>7</v>
      </c>
      <c r="Q14" s="49"/>
    </row>
    <row r="15" spans="1:17" s="10" customFormat="1" x14ac:dyDescent="0.2">
      <c r="A15" s="3"/>
      <c r="B15" s="3"/>
      <c r="C15" s="136"/>
      <c r="D15" s="137"/>
      <c r="E15" s="138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50"/>
      <c r="Q15" s="44"/>
    </row>
    <row r="16" spans="1:17" s="18" customFormat="1" x14ac:dyDescent="0.2">
      <c r="A16" s="35"/>
      <c r="B16" s="4" t="s">
        <v>14</v>
      </c>
      <c r="C16" s="26"/>
      <c r="D16" s="16">
        <f t="shared" ref="D16:K16" si="1">SUM(D13:D15)</f>
        <v>35000</v>
      </c>
      <c r="E16" s="14">
        <f t="shared" si="1"/>
        <v>80000</v>
      </c>
      <c r="F16" s="14">
        <f t="shared" si="1"/>
        <v>6000</v>
      </c>
      <c r="G16" s="14">
        <f t="shared" si="1"/>
        <v>8783.0415000000012</v>
      </c>
      <c r="H16" s="14">
        <f t="shared" si="1"/>
        <v>70000</v>
      </c>
      <c r="I16" s="14">
        <f t="shared" si="1"/>
        <v>43830.06</v>
      </c>
      <c r="J16" s="32">
        <f>SUM(J13:J15)</f>
        <v>0</v>
      </c>
      <c r="K16" s="14">
        <f t="shared" si="1"/>
        <v>17000</v>
      </c>
      <c r="L16" s="14">
        <f>+L13+L14</f>
        <v>0</v>
      </c>
      <c r="M16" s="14">
        <f>SUM(M13:M15)</f>
        <v>225613.10149999999</v>
      </c>
      <c r="N16" s="14">
        <f>+N13</f>
        <v>4507.7675083773693</v>
      </c>
      <c r="O16" s="14">
        <f>+M16+N16</f>
        <v>230120.86900837737</v>
      </c>
      <c r="P16" s="33"/>
      <c r="Q16" s="135">
        <f>(+O16/D16)*(1+CALC!$A$3)</f>
        <v>6.5748819716679252</v>
      </c>
    </row>
    <row r="17" spans="1:17" s="18" customFormat="1" ht="12" thickBot="1" x14ac:dyDescent="0.25">
      <c r="A17" s="35"/>
      <c r="B17" s="35"/>
      <c r="C17" s="39"/>
      <c r="D17" s="40"/>
      <c r="E17" s="41"/>
      <c r="F17" s="41"/>
      <c r="G17" s="41"/>
      <c r="H17" s="41"/>
      <c r="I17" s="41"/>
      <c r="J17" s="24"/>
      <c r="K17" s="41"/>
      <c r="L17" s="41"/>
      <c r="M17" s="41"/>
      <c r="N17" s="41"/>
      <c r="O17" s="41"/>
      <c r="P17" s="41"/>
      <c r="Q17" s="36"/>
    </row>
    <row r="18" spans="1:17" ht="12" thickBot="1" x14ac:dyDescent="0.25">
      <c r="A18" s="330" t="s">
        <v>10</v>
      </c>
      <c r="B18" s="331" t="s">
        <v>479</v>
      </c>
      <c r="D18" s="568" t="s">
        <v>674</v>
      </c>
      <c r="E18" s="569"/>
      <c r="F18" s="570"/>
      <c r="Q18" s="21"/>
    </row>
    <row r="19" spans="1:17" x14ac:dyDescent="0.2">
      <c r="Q19" s="21"/>
    </row>
    <row r="20" spans="1:17" s="9" customFormat="1" x14ac:dyDescent="0.2">
      <c r="A20" s="61" t="str">
        <f>+'1-10'!C61</f>
        <v>NISSAN   UD 40A M02 [105]</v>
      </c>
      <c r="B20" s="61" t="str">
        <f>+'1-10'!R61</f>
        <v>CMJ 505 L</v>
      </c>
      <c r="C20" s="54">
        <v>660</v>
      </c>
      <c r="D20" s="46">
        <v>15000</v>
      </c>
      <c r="E20" s="62">
        <f>+D20/P20*(CALC!$A$4)</f>
        <v>120000</v>
      </c>
      <c r="F20" s="37">
        <v>3000</v>
      </c>
      <c r="G20" s="37">
        <f>6057.27*(1+CALC!$A$2)</f>
        <v>4391.5207500000006</v>
      </c>
      <c r="H20" s="37">
        <v>50000</v>
      </c>
      <c r="I20" s="37">
        <f>29272.05</f>
        <v>29272.05</v>
      </c>
      <c r="J20" s="37"/>
      <c r="K20" s="37">
        <f>2000</f>
        <v>2000</v>
      </c>
      <c r="L20" s="37"/>
      <c r="M20" s="37">
        <f>SUM(E20:L20)</f>
        <v>208663.57074999998</v>
      </c>
      <c r="N20" s="32">
        <f>M20/CALC!$A$8*CALC!$A$6</f>
        <v>7940.6169498816607</v>
      </c>
      <c r="O20" s="37">
        <f>+M20+N20</f>
        <v>216604.18769988164</v>
      </c>
      <c r="P20" s="48">
        <v>2</v>
      </c>
      <c r="Q20" s="49"/>
    </row>
    <row r="21" spans="1:17" s="9" customFormat="1" x14ac:dyDescent="0.2">
      <c r="A21" s="61" t="str">
        <f>+'1-10'!C66</f>
        <v>NISSAN   UD 40A M02 [105]</v>
      </c>
      <c r="B21" s="61" t="str">
        <f>+'1-10'!R66</f>
        <v>CMN 471 L</v>
      </c>
      <c r="C21" s="54">
        <v>665</v>
      </c>
      <c r="D21" s="46">
        <v>10000</v>
      </c>
      <c r="E21" s="62">
        <f>+D21/P21*(CALC!$A$4)</f>
        <v>80000</v>
      </c>
      <c r="F21" s="37">
        <v>3000</v>
      </c>
      <c r="G21" s="37">
        <f>6057.27*(1+CALC!$A$2)</f>
        <v>4391.5207500000006</v>
      </c>
      <c r="H21" s="37">
        <v>50000</v>
      </c>
      <c r="I21" s="37">
        <f>29481.93</f>
        <v>29481.93</v>
      </c>
      <c r="J21" s="37"/>
      <c r="K21" s="37">
        <f>2000</f>
        <v>2000</v>
      </c>
      <c r="L21" s="37"/>
      <c r="M21" s="37">
        <f>SUM(E21:L21)</f>
        <v>168873.45074999999</v>
      </c>
      <c r="N21" s="32">
        <f>M21/CALC!$A$8*CALC!$A$6</f>
        <v>6426.4182798686043</v>
      </c>
      <c r="O21" s="37">
        <f>+M21+N21</f>
        <v>175299.8690298686</v>
      </c>
      <c r="P21" s="48">
        <v>2</v>
      </c>
      <c r="Q21" s="49"/>
    </row>
    <row r="22" spans="1:17" s="9" customFormat="1" x14ac:dyDescent="0.2">
      <c r="A22" s="61"/>
      <c r="B22" s="61"/>
      <c r="C22" s="54"/>
      <c r="D22" s="46"/>
      <c r="E22" s="62"/>
      <c r="F22" s="37"/>
      <c r="G22" s="37"/>
      <c r="H22" s="37"/>
      <c r="I22" s="37"/>
      <c r="J22" s="37"/>
      <c r="K22" s="37"/>
      <c r="L22" s="37"/>
      <c r="M22" s="37"/>
      <c r="N22" s="32"/>
      <c r="O22" s="37"/>
      <c r="P22" s="48"/>
      <c r="Q22" s="49"/>
    </row>
    <row r="23" spans="1:17" s="18" customFormat="1" x14ac:dyDescent="0.2">
      <c r="A23" s="35"/>
      <c r="B23" s="4" t="s">
        <v>14</v>
      </c>
      <c r="C23" s="26"/>
      <c r="D23" s="16">
        <f t="shared" ref="D23:K23" si="2">SUM(D20:D22)</f>
        <v>25000</v>
      </c>
      <c r="E23" s="14">
        <f t="shared" si="2"/>
        <v>200000</v>
      </c>
      <c r="F23" s="14">
        <f t="shared" si="2"/>
        <v>6000</v>
      </c>
      <c r="G23" s="14">
        <f t="shared" si="2"/>
        <v>8783.0415000000012</v>
      </c>
      <c r="H23" s="14">
        <f t="shared" si="2"/>
        <v>100000</v>
      </c>
      <c r="I23" s="14">
        <f t="shared" si="2"/>
        <v>58753.979999999996</v>
      </c>
      <c r="J23" s="32">
        <f t="shared" si="2"/>
        <v>0</v>
      </c>
      <c r="K23" s="14">
        <f t="shared" si="2"/>
        <v>4000</v>
      </c>
      <c r="L23" s="14">
        <f>+L20+L21</f>
        <v>0</v>
      </c>
      <c r="M23" s="14">
        <f>SUM(M20:M22)</f>
        <v>377537.02149999997</v>
      </c>
      <c r="N23" s="14">
        <f>M23/CALC!$A$8*CALC!$A$6</f>
        <v>14367.035229750265</v>
      </c>
      <c r="O23" s="14">
        <f>+M23+N23</f>
        <v>391904.05672975024</v>
      </c>
      <c r="P23" s="50"/>
      <c r="Q23" s="135">
        <f>(+O23/D23)*(1+CALC!$A$3)</f>
        <v>15.67616226919001</v>
      </c>
    </row>
    <row r="24" spans="1:17" s="18" customFormat="1" ht="12" thickBot="1" x14ac:dyDescent="0.25">
      <c r="A24" s="35"/>
      <c r="B24" s="35"/>
      <c r="C24" s="39"/>
      <c r="D24" s="40"/>
      <c r="E24" s="41"/>
      <c r="F24" s="41"/>
      <c r="G24" s="41"/>
      <c r="H24" s="41"/>
      <c r="I24" s="41"/>
      <c r="J24" s="24"/>
      <c r="K24" s="41"/>
      <c r="L24" s="41"/>
      <c r="M24" s="41"/>
      <c r="N24" s="41"/>
      <c r="O24" s="41"/>
      <c r="P24" s="24"/>
      <c r="Q24" s="51"/>
    </row>
    <row r="25" spans="1:17" ht="12" thickBot="1" x14ac:dyDescent="0.25">
      <c r="A25" s="330" t="s">
        <v>10</v>
      </c>
      <c r="B25" s="331" t="s">
        <v>480</v>
      </c>
      <c r="D25" s="568" t="s">
        <v>675</v>
      </c>
      <c r="E25" s="569"/>
      <c r="F25" s="570"/>
      <c r="Q25" s="21"/>
    </row>
    <row r="26" spans="1:17" x14ac:dyDescent="0.2">
      <c r="Q26" s="21"/>
    </row>
    <row r="27" spans="1:17" s="9" customFormat="1" x14ac:dyDescent="0.2">
      <c r="A27" s="360" t="str">
        <f>+'1-10'!C74</f>
        <v>NISSAN  UD40  TIPPER [105]</v>
      </c>
      <c r="B27" s="61" t="str">
        <f>+'1-10'!R74</f>
        <v>CPR 551L</v>
      </c>
      <c r="C27" s="54">
        <v>673</v>
      </c>
      <c r="D27" s="46">
        <v>15000</v>
      </c>
      <c r="E27" s="62">
        <f>+D27/P27*(CALC!$A$4)</f>
        <v>109090.90909090909</v>
      </c>
      <c r="F27" s="37">
        <v>3000</v>
      </c>
      <c r="G27" s="37">
        <f>6057.27*(1+CALC!$A$2)</f>
        <v>4391.5207500000006</v>
      </c>
      <c r="H27" s="37">
        <v>50000</v>
      </c>
      <c r="I27" s="567">
        <v>28507.08</v>
      </c>
      <c r="J27" s="37"/>
      <c r="K27" s="37">
        <f>2500</f>
        <v>2500</v>
      </c>
      <c r="L27" s="37"/>
      <c r="M27" s="37">
        <f>SUM(E27:L27)</f>
        <v>197489.5098409091</v>
      </c>
      <c r="N27" s="32">
        <f>M27/CALC!$A$8*CALC!$A$6</f>
        <v>7515.3920908666514</v>
      </c>
      <c r="O27" s="37">
        <f>+M27+N27</f>
        <v>205004.90193177576</v>
      </c>
      <c r="P27" s="399">
        <v>2.2000000000000002</v>
      </c>
      <c r="Q27" s="49"/>
    </row>
    <row r="28" spans="1:17" s="9" customFormat="1" x14ac:dyDescent="0.2">
      <c r="A28" s="142"/>
      <c r="B28" s="61"/>
      <c r="C28" s="54"/>
      <c r="D28" s="46"/>
      <c r="E28" s="61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48"/>
      <c r="Q28" s="49"/>
    </row>
    <row r="29" spans="1:17" s="10" customFormat="1" x14ac:dyDescent="0.2">
      <c r="A29" s="63"/>
      <c r="B29" s="3" t="s">
        <v>14</v>
      </c>
      <c r="C29" s="136"/>
      <c r="D29" s="137">
        <f t="shared" ref="D29:M29" si="3">SUM(D27:D28)</f>
        <v>15000</v>
      </c>
      <c r="E29" s="32">
        <f t="shared" si="3"/>
        <v>109090.90909090909</v>
      </c>
      <c r="F29" s="32">
        <f t="shared" si="3"/>
        <v>3000</v>
      </c>
      <c r="G29" s="32">
        <f t="shared" si="3"/>
        <v>4391.5207500000006</v>
      </c>
      <c r="H29" s="32">
        <f t="shared" si="3"/>
        <v>50000</v>
      </c>
      <c r="I29" s="32">
        <f t="shared" si="3"/>
        <v>28507.08</v>
      </c>
      <c r="J29" s="32">
        <f t="shared" si="3"/>
        <v>0</v>
      </c>
      <c r="K29" s="32">
        <f t="shared" si="3"/>
        <v>2500</v>
      </c>
      <c r="L29" s="32">
        <f>+L27</f>
        <v>0</v>
      </c>
      <c r="M29" s="32">
        <f t="shared" si="3"/>
        <v>197489.5098409091</v>
      </c>
      <c r="N29" s="32">
        <f>M29/CALC!$A$8*CALC!$A$6</f>
        <v>7515.3920908666514</v>
      </c>
      <c r="O29" s="32">
        <f>+M29+N29</f>
        <v>205004.90193177576</v>
      </c>
      <c r="P29" s="50"/>
      <c r="Q29" s="135">
        <f>(+O29/D29)*(1+CALC!$A$3)</f>
        <v>13.666993462118384</v>
      </c>
    </row>
    <row r="30" spans="1:17" s="18" customFormat="1" ht="12" thickBot="1" x14ac:dyDescent="0.25">
      <c r="A30" s="35"/>
      <c r="B30" s="35"/>
      <c r="C30" s="39"/>
      <c r="D30" s="40"/>
      <c r="E30" s="41"/>
      <c r="F30" s="41"/>
      <c r="G30" s="41"/>
      <c r="H30" s="41"/>
      <c r="I30" s="41"/>
      <c r="J30" s="24"/>
      <c r="K30" s="41"/>
      <c r="L30" s="41"/>
      <c r="M30" s="41"/>
      <c r="N30" s="41"/>
      <c r="O30" s="41"/>
      <c r="P30" s="24"/>
      <c r="Q30" s="51"/>
    </row>
    <row r="31" spans="1:17" ht="12" thickBot="1" x14ac:dyDescent="0.25">
      <c r="A31" s="330" t="s">
        <v>10</v>
      </c>
      <c r="B31" s="331" t="s">
        <v>143</v>
      </c>
      <c r="D31" s="568" t="s">
        <v>17</v>
      </c>
      <c r="E31" s="569"/>
      <c r="F31" s="570"/>
      <c r="Q31" s="21"/>
    </row>
    <row r="32" spans="1:17" x14ac:dyDescent="0.2">
      <c r="Q32" s="21"/>
    </row>
    <row r="33" spans="1:17" s="549" customFormat="1" x14ac:dyDescent="0.2">
      <c r="A33" s="542" t="s">
        <v>27</v>
      </c>
      <c r="B33" s="542" t="s">
        <v>31</v>
      </c>
      <c r="C33" s="384">
        <v>78</v>
      </c>
      <c r="D33" s="543">
        <v>600</v>
      </c>
      <c r="E33" s="550">
        <f>+D33/P33*(CALC!$A$4)</f>
        <v>36923.076923076922</v>
      </c>
      <c r="F33" s="545">
        <v>3000</v>
      </c>
      <c r="G33" s="545">
        <f>2800*(1+CALC!$A$2)</f>
        <v>2030</v>
      </c>
      <c r="H33" s="545">
        <f>8330*(1+CALC!$A$2)</f>
        <v>6039.25</v>
      </c>
      <c r="I33" s="545"/>
      <c r="J33" s="545"/>
      <c r="K33" s="545">
        <v>390</v>
      </c>
      <c r="L33" s="545"/>
      <c r="M33" s="545">
        <f t="shared" ref="M33:M39" si="4">SUM(E33:L33)</f>
        <v>48382.326923076922</v>
      </c>
      <c r="N33" s="546">
        <f>M33/CALC!$A$8*CALC!$A$6</f>
        <v>1841.172006494576</v>
      </c>
      <c r="O33" s="545">
        <f t="shared" ref="O33:O39" si="5">+M33+N33</f>
        <v>50223.498929571499</v>
      </c>
      <c r="P33" s="547">
        <v>0.26</v>
      </c>
      <c r="Q33" s="548"/>
    </row>
    <row r="34" spans="1:17" s="549" customFormat="1" x14ac:dyDescent="0.2">
      <c r="A34" s="542" t="s">
        <v>123</v>
      </c>
      <c r="B34" s="542" t="s">
        <v>31</v>
      </c>
      <c r="C34" s="384">
        <v>82</v>
      </c>
      <c r="D34" s="543">
        <v>100</v>
      </c>
      <c r="E34" s="550">
        <f>+D34/P34*(CALC!$A$4)</f>
        <v>5333.3333333333339</v>
      </c>
      <c r="F34" s="545">
        <v>3000</v>
      </c>
      <c r="G34" s="545">
        <f>756*(1+CALC!$A$2)</f>
        <v>548.1</v>
      </c>
      <c r="H34" s="545">
        <f>13416*(1+CALC!$A$2)</f>
        <v>9726.6</v>
      </c>
      <c r="I34" s="545"/>
      <c r="J34" s="545"/>
      <c r="K34" s="545">
        <v>390</v>
      </c>
      <c r="L34" s="545"/>
      <c r="M34" s="545">
        <f>SUM(E34:L34)</f>
        <v>18998.033333333333</v>
      </c>
      <c r="N34" s="546">
        <f>M34/CALC!$A$8*CALC!$A$6</f>
        <v>722.96330863533569</v>
      </c>
      <c r="O34" s="545">
        <f>+M34+N34</f>
        <v>19720.996641968668</v>
      </c>
      <c r="P34" s="547">
        <v>0.3</v>
      </c>
      <c r="Q34" s="548"/>
    </row>
    <row r="35" spans="1:17" s="549" customFormat="1" x14ac:dyDescent="0.2">
      <c r="A35" s="542" t="s">
        <v>28</v>
      </c>
      <c r="B35" s="542" t="s">
        <v>31</v>
      </c>
      <c r="C35" s="384">
        <v>83</v>
      </c>
      <c r="D35" s="543">
        <v>600</v>
      </c>
      <c r="E35" s="550">
        <f>+D35/P35*(CALC!$A$4)</f>
        <v>43636.36363636364</v>
      </c>
      <c r="F35" s="545">
        <v>3000</v>
      </c>
      <c r="G35" s="545">
        <f>1800*(1+CALC!$A$2)</f>
        <v>1305</v>
      </c>
      <c r="H35" s="545">
        <f>6000*(1+CALC!$A$2)</f>
        <v>4350</v>
      </c>
      <c r="I35" s="545"/>
      <c r="J35" s="545"/>
      <c r="K35" s="545">
        <v>390</v>
      </c>
      <c r="L35" s="545"/>
      <c r="M35" s="545">
        <f t="shared" si="4"/>
        <v>52681.36363636364</v>
      </c>
      <c r="N35" s="546">
        <f>M35/CALC!$A$8*CALC!$A$6</f>
        <v>2004.770298573013</v>
      </c>
      <c r="O35" s="545">
        <f t="shared" si="5"/>
        <v>54686.133934936654</v>
      </c>
      <c r="P35" s="547">
        <v>0.22</v>
      </c>
      <c r="Q35" s="548"/>
    </row>
    <row r="36" spans="1:17" s="549" customFormat="1" x14ac:dyDescent="0.2">
      <c r="A36" s="542" t="s">
        <v>24</v>
      </c>
      <c r="B36" s="542" t="s">
        <v>32</v>
      </c>
      <c r="C36" s="384">
        <v>124</v>
      </c>
      <c r="D36" s="543">
        <v>100</v>
      </c>
      <c r="E36" s="550">
        <f>+D36/P36*(CALC!$A$4)</f>
        <v>4102.5641025641025</v>
      </c>
      <c r="F36" s="545">
        <v>3000</v>
      </c>
      <c r="G36" s="545">
        <f>2000*(1+CALC!$A$2)</f>
        <v>1450</v>
      </c>
      <c r="H36" s="545">
        <f>6000*(1+CALC!$A$2)</f>
        <v>4350</v>
      </c>
      <c r="I36" s="545"/>
      <c r="J36" s="545"/>
      <c r="K36" s="545">
        <v>390</v>
      </c>
      <c r="L36" s="545"/>
      <c r="M36" s="545">
        <f t="shared" si="4"/>
        <v>13292.564102564102</v>
      </c>
      <c r="N36" s="546">
        <f>M36/CALC!$A$8*CALC!$A$6</f>
        <v>505.84373420250699</v>
      </c>
      <c r="O36" s="545">
        <f t="shared" si="5"/>
        <v>13798.407836766608</v>
      </c>
      <c r="P36" s="547">
        <v>0.39</v>
      </c>
      <c r="Q36" s="548"/>
    </row>
    <row r="37" spans="1:17" s="549" customFormat="1" x14ac:dyDescent="0.2">
      <c r="A37" s="542" t="s">
        <v>29</v>
      </c>
      <c r="B37" s="542" t="s">
        <v>33</v>
      </c>
      <c r="C37" s="384">
        <v>151</v>
      </c>
      <c r="D37" s="543">
        <v>200</v>
      </c>
      <c r="E37" s="550">
        <f>+D37/P37*(CALC!$A$4)</f>
        <v>10666.666666666668</v>
      </c>
      <c r="F37" s="545">
        <v>3000</v>
      </c>
      <c r="G37" s="545">
        <f>3000*(1+CALC!$A$2)</f>
        <v>2175</v>
      </c>
      <c r="H37" s="545">
        <f>6000*(1+CALC!$A$2)</f>
        <v>4350</v>
      </c>
      <c r="I37" s="545"/>
      <c r="J37" s="545"/>
      <c r="K37" s="545">
        <v>390</v>
      </c>
      <c r="L37" s="545"/>
      <c r="M37" s="545">
        <f t="shared" si="4"/>
        <v>20581.666666666668</v>
      </c>
      <c r="N37" s="546">
        <f>M37/CALC!$A$8*CALC!$A$6</f>
        <v>783.22790414602218</v>
      </c>
      <c r="O37" s="545">
        <f t="shared" si="5"/>
        <v>21364.894570812688</v>
      </c>
      <c r="P37" s="547">
        <v>0.3</v>
      </c>
      <c r="Q37" s="548"/>
    </row>
    <row r="38" spans="1:17" s="549" customFormat="1" x14ac:dyDescent="0.2">
      <c r="A38" s="542" t="s">
        <v>30</v>
      </c>
      <c r="B38" s="542" t="s">
        <v>33</v>
      </c>
      <c r="C38" s="384">
        <v>408</v>
      </c>
      <c r="D38" s="543">
        <v>200</v>
      </c>
      <c r="E38" s="550">
        <f>+D38/P38*(CALC!$A$4)</f>
        <v>10666.666666666668</v>
      </c>
      <c r="F38" s="545">
        <v>3000</v>
      </c>
      <c r="G38" s="545">
        <f>3000*(1+CALC!$A$2)</f>
        <v>2175</v>
      </c>
      <c r="H38" s="545">
        <f>10000*(1+CALC!$A$2)</f>
        <v>7250</v>
      </c>
      <c r="I38" s="545"/>
      <c r="J38" s="545"/>
      <c r="K38" s="545">
        <v>390</v>
      </c>
      <c r="L38" s="545"/>
      <c r="M38" s="545">
        <f t="shared" si="4"/>
        <v>23481.666666666668</v>
      </c>
      <c r="N38" s="546">
        <f>M38/CALC!$A$8*CALC!$A$6</f>
        <v>893.58635853213275</v>
      </c>
      <c r="O38" s="545">
        <f t="shared" si="5"/>
        <v>24375.253025198799</v>
      </c>
      <c r="P38" s="547">
        <v>0.3</v>
      </c>
      <c r="Q38" s="548"/>
    </row>
    <row r="39" spans="1:17" x14ac:dyDescent="0.2">
      <c r="A39" s="47"/>
      <c r="B39" s="12"/>
      <c r="C39" s="19"/>
      <c r="D39" s="8"/>
      <c r="E39" s="13"/>
      <c r="F39" s="13"/>
      <c r="G39" s="13"/>
      <c r="H39" s="13"/>
      <c r="I39" s="13"/>
      <c r="J39" s="37"/>
      <c r="K39" s="13"/>
      <c r="L39" s="13"/>
      <c r="M39" s="13">
        <f t="shared" si="4"/>
        <v>0</v>
      </c>
      <c r="N39" s="13"/>
      <c r="O39" s="13">
        <f t="shared" si="5"/>
        <v>0</v>
      </c>
      <c r="P39" s="31"/>
      <c r="Q39" s="21"/>
    </row>
    <row r="40" spans="1:17" s="18" customFormat="1" x14ac:dyDescent="0.2">
      <c r="A40" s="35"/>
      <c r="B40" s="4" t="s">
        <v>14</v>
      </c>
      <c r="C40" s="26"/>
      <c r="D40" s="16">
        <f t="shared" ref="D40:M40" si="6">SUM(D33:D39)</f>
        <v>1800</v>
      </c>
      <c r="E40" s="14">
        <f t="shared" si="6"/>
        <v>111328.67132867135</v>
      </c>
      <c r="F40" s="14">
        <f t="shared" si="6"/>
        <v>18000</v>
      </c>
      <c r="G40" s="14">
        <f t="shared" si="6"/>
        <v>9683.1</v>
      </c>
      <c r="H40" s="14">
        <f t="shared" si="6"/>
        <v>36065.85</v>
      </c>
      <c r="I40" s="14">
        <f t="shared" si="6"/>
        <v>0</v>
      </c>
      <c r="J40" s="32">
        <f t="shared" si="6"/>
        <v>0</v>
      </c>
      <c r="K40" s="14">
        <f t="shared" si="6"/>
        <v>2340</v>
      </c>
      <c r="L40" s="14"/>
      <c r="M40" s="14">
        <f t="shared" si="6"/>
        <v>177417.62132867132</v>
      </c>
      <c r="N40" s="14">
        <f>M40/CALC!$A$8*CALC!$A$6</f>
        <v>6751.5636105835856</v>
      </c>
      <c r="O40" s="14">
        <f>+M40+N40</f>
        <v>184169.18493925489</v>
      </c>
      <c r="P40" s="33"/>
      <c r="Q40" s="135">
        <f>(+O40/D40)*(1+CALC!$A$3)</f>
        <v>102.31621385514161</v>
      </c>
    </row>
    <row r="41" spans="1:17" ht="12" thickBot="1" x14ac:dyDescent="0.25">
      <c r="Q41" s="21"/>
    </row>
    <row r="42" spans="1:17" ht="12" thickBot="1" x14ac:dyDescent="0.25">
      <c r="A42" s="330" t="s">
        <v>10</v>
      </c>
      <c r="B42" s="331" t="s">
        <v>144</v>
      </c>
      <c r="D42" s="568" t="s">
        <v>15</v>
      </c>
      <c r="E42" s="569"/>
      <c r="F42" s="570"/>
      <c r="Q42" s="21"/>
    </row>
    <row r="43" spans="1:17" x14ac:dyDescent="0.2">
      <c r="Q43" s="21"/>
    </row>
    <row r="44" spans="1:17" s="549" customFormat="1" x14ac:dyDescent="0.2">
      <c r="A44" s="542" t="s">
        <v>34</v>
      </c>
      <c r="B44" s="542" t="s">
        <v>37</v>
      </c>
      <c r="C44" s="384">
        <v>94</v>
      </c>
      <c r="D44" s="543"/>
      <c r="E44" s="550"/>
      <c r="F44" s="545"/>
      <c r="G44" s="545">
        <f>710*(1+CALC!$A$2)</f>
        <v>514.75</v>
      </c>
      <c r="H44" s="545">
        <f>5000*(1+CALC!$A$2)</f>
        <v>3625</v>
      </c>
      <c r="I44" s="545"/>
      <c r="J44" s="545"/>
      <c r="K44" s="545">
        <v>468</v>
      </c>
      <c r="L44" s="545"/>
      <c r="M44" s="545">
        <f>SUM(E44:L44)</f>
        <v>4607.75</v>
      </c>
      <c r="N44" s="546">
        <f>M44/CALC!$A$8*CALC!$A$6</f>
        <v>175.34626489572435</v>
      </c>
      <c r="O44" s="545">
        <f t="shared" ref="O44:O49" si="7">+M44+N44</f>
        <v>4783.0962648957247</v>
      </c>
      <c r="P44" s="551"/>
      <c r="Q44" s="548"/>
    </row>
    <row r="45" spans="1:17" s="549" customFormat="1" x14ac:dyDescent="0.2">
      <c r="A45" s="542" t="s">
        <v>34</v>
      </c>
      <c r="B45" s="542" t="s">
        <v>38</v>
      </c>
      <c r="C45" s="384">
        <v>97</v>
      </c>
      <c r="D45" s="543"/>
      <c r="E45" s="550"/>
      <c r="F45" s="545"/>
      <c r="G45" s="545">
        <f>710*(1+CALC!$A$2)</f>
        <v>514.75</v>
      </c>
      <c r="H45" s="545">
        <f>5000*(1+CALC!$A$2)</f>
        <v>3625</v>
      </c>
      <c r="I45" s="545"/>
      <c r="J45" s="545"/>
      <c r="K45" s="545">
        <v>468</v>
      </c>
      <c r="L45" s="545"/>
      <c r="M45" s="545">
        <f>SUM(E45:L45)</f>
        <v>4607.75</v>
      </c>
      <c r="N45" s="546">
        <f>M45/CALC!$A$8*CALC!$A$6</f>
        <v>175.34626489572435</v>
      </c>
      <c r="O45" s="545">
        <f t="shared" si="7"/>
        <v>4783.0962648957247</v>
      </c>
      <c r="P45" s="551"/>
      <c r="Q45" s="548"/>
    </row>
    <row r="46" spans="1:17" s="549" customFormat="1" x14ac:dyDescent="0.2">
      <c r="A46" s="542" t="s">
        <v>35</v>
      </c>
      <c r="B46" s="542" t="s">
        <v>39</v>
      </c>
      <c r="C46" s="384">
        <v>98</v>
      </c>
      <c r="D46" s="543"/>
      <c r="E46" s="550"/>
      <c r="F46" s="545"/>
      <c r="G46" s="545">
        <f>710*(1+CALC!$A$2)</f>
        <v>514.75</v>
      </c>
      <c r="H46" s="545">
        <f>5000*(1+CALC!$A$2)</f>
        <v>3625</v>
      </c>
      <c r="I46" s="545"/>
      <c r="J46" s="545"/>
      <c r="K46" s="545">
        <v>468</v>
      </c>
      <c r="L46" s="545"/>
      <c r="M46" s="545">
        <f>SUM(E46:L46)</f>
        <v>4607.75</v>
      </c>
      <c r="N46" s="546">
        <f>M46/CALC!$A$8*CALC!$A$6</f>
        <v>175.34626489572435</v>
      </c>
      <c r="O46" s="545">
        <f t="shared" si="7"/>
        <v>4783.0962648957247</v>
      </c>
      <c r="P46" s="551"/>
      <c r="Q46" s="548"/>
    </row>
    <row r="47" spans="1:17" s="549" customFormat="1" x14ac:dyDescent="0.2">
      <c r="A47" s="542" t="s">
        <v>36</v>
      </c>
      <c r="B47" s="542" t="s">
        <v>16</v>
      </c>
      <c r="C47" s="384">
        <v>405</v>
      </c>
      <c r="D47" s="543"/>
      <c r="E47" s="550"/>
      <c r="F47" s="545"/>
      <c r="G47" s="545">
        <f>1100*(1+CALC!$A$2)</f>
        <v>797.5</v>
      </c>
      <c r="H47" s="545">
        <f>5000*(1+CALC!$A$2)</f>
        <v>3625</v>
      </c>
      <c r="I47" s="545">
        <v>0</v>
      </c>
      <c r="J47" s="545"/>
      <c r="K47" s="545">
        <v>468</v>
      </c>
      <c r="L47" s="545"/>
      <c r="M47" s="545">
        <f>SUM(E47:L47)</f>
        <v>4890.5</v>
      </c>
      <c r="N47" s="546">
        <f>M47/CALC!$A$8*CALC!$A$6</f>
        <v>186.10621419837014</v>
      </c>
      <c r="O47" s="545">
        <f t="shared" si="7"/>
        <v>5076.6062141983703</v>
      </c>
      <c r="P47" s="551"/>
      <c r="Q47" s="548"/>
    </row>
    <row r="48" spans="1:17" x14ac:dyDescent="0.2">
      <c r="A48" s="12"/>
      <c r="B48" s="12"/>
      <c r="C48" s="19"/>
      <c r="D48" s="8"/>
      <c r="E48" s="30"/>
      <c r="F48" s="13"/>
      <c r="G48" s="13"/>
      <c r="H48" s="13"/>
      <c r="I48" s="13"/>
      <c r="J48" s="37"/>
      <c r="K48" s="13"/>
      <c r="L48" s="13"/>
      <c r="M48" s="13">
        <f>SUM(E48:L48)</f>
        <v>0</v>
      </c>
      <c r="N48" s="13"/>
      <c r="O48" s="13">
        <f t="shared" si="7"/>
        <v>0</v>
      </c>
      <c r="P48" s="20"/>
      <c r="Q48" s="21"/>
    </row>
    <row r="49" spans="1:17" s="18" customFormat="1" x14ac:dyDescent="0.2">
      <c r="A49" s="35"/>
      <c r="B49" s="4" t="s">
        <v>14</v>
      </c>
      <c r="C49" s="26"/>
      <c r="D49" s="16">
        <v>0</v>
      </c>
      <c r="E49" s="14">
        <f t="shared" ref="E49:K49" si="8">SUM(E44:E48)</f>
        <v>0</v>
      </c>
      <c r="F49" s="14">
        <f t="shared" si="8"/>
        <v>0</v>
      </c>
      <c r="G49" s="14">
        <f t="shared" si="8"/>
        <v>2341.75</v>
      </c>
      <c r="H49" s="14">
        <f t="shared" si="8"/>
        <v>14500</v>
      </c>
      <c r="I49" s="14">
        <f t="shared" si="8"/>
        <v>0</v>
      </c>
      <c r="J49" s="32">
        <f t="shared" si="8"/>
        <v>0</v>
      </c>
      <c r="K49" s="14">
        <f t="shared" si="8"/>
        <v>1872</v>
      </c>
      <c r="L49" s="14"/>
      <c r="M49" s="14">
        <f>SUM(M44:M48)</f>
        <v>18713.75</v>
      </c>
      <c r="N49" s="14">
        <f>M49/CALC!$A$8*CALC!$A$6</f>
        <v>712.14500888554323</v>
      </c>
      <c r="O49" s="14">
        <f t="shared" si="7"/>
        <v>19425.895008885542</v>
      </c>
      <c r="P49" s="41"/>
      <c r="Q49" s="36"/>
    </row>
    <row r="50" spans="1:17" s="18" customFormat="1" x14ac:dyDescent="0.2">
      <c r="A50" s="35"/>
      <c r="B50" s="35"/>
      <c r="C50" s="39"/>
      <c r="D50" s="40"/>
      <c r="E50" s="41"/>
      <c r="F50" s="41"/>
      <c r="G50" s="41"/>
      <c r="H50" s="41"/>
      <c r="I50" s="41"/>
      <c r="J50" s="24"/>
      <c r="K50" s="41"/>
      <c r="L50" s="41"/>
      <c r="M50" s="41"/>
      <c r="N50" s="41"/>
      <c r="O50" s="41"/>
      <c r="P50" s="41"/>
      <c r="Q50" s="36"/>
    </row>
    <row r="51" spans="1:17" s="18" customFormat="1" x14ac:dyDescent="0.2">
      <c r="A51" s="52" t="s">
        <v>63</v>
      </c>
      <c r="B51" s="66" t="s">
        <v>14</v>
      </c>
      <c r="C51" s="67"/>
      <c r="D51" s="68">
        <f>+D9+D16+D23+D29+D40+D49</f>
        <v>96800</v>
      </c>
      <c r="E51" s="70">
        <f>+E9+E16+E23+E29+E40+E49</f>
        <v>548395.59241358342</v>
      </c>
      <c r="F51" s="70">
        <f>+F9+F16+F23+F29+F40+F49</f>
        <v>36000</v>
      </c>
      <c r="G51" s="70">
        <f t="shared" ref="G51:O51" si="9">+G9+G16+G23+G29+G40+G49</f>
        <v>37956.903750000005</v>
      </c>
      <c r="H51" s="70">
        <f t="shared" si="9"/>
        <v>305565.84999999998</v>
      </c>
      <c r="I51" s="70">
        <f t="shared" si="9"/>
        <v>146484.96</v>
      </c>
      <c r="J51" s="70">
        <f t="shared" si="9"/>
        <v>0</v>
      </c>
      <c r="K51" s="70">
        <f t="shared" si="9"/>
        <v>28672</v>
      </c>
      <c r="L51" s="70">
        <f t="shared" si="9"/>
        <v>0</v>
      </c>
      <c r="M51" s="70">
        <f t="shared" si="9"/>
        <v>1103075.3061635834</v>
      </c>
      <c r="N51" s="70">
        <f>+N9+N16+N23+N29+N40+N49</f>
        <v>37899.275332136684</v>
      </c>
      <c r="O51" s="70">
        <f t="shared" si="9"/>
        <v>1140974.5814957202</v>
      </c>
      <c r="P51" s="398"/>
      <c r="Q51" s="51"/>
    </row>
    <row r="52" spans="1:17" s="10" customFormat="1" ht="12" thickBot="1" x14ac:dyDescent="0.25">
      <c r="A52" s="143"/>
      <c r="B52" s="144"/>
      <c r="C52" s="145"/>
      <c r="D52" s="146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8"/>
    </row>
    <row r="53" spans="1:17" ht="12.75" thickTop="1" thickBot="1" x14ac:dyDescent="0.25">
      <c r="Q53" s="21"/>
    </row>
    <row r="54" spans="1:17" ht="12" thickBot="1" x14ac:dyDescent="0.25">
      <c r="A54" s="330" t="s">
        <v>10</v>
      </c>
      <c r="B54" s="331" t="s">
        <v>145</v>
      </c>
      <c r="D54" s="568" t="s">
        <v>15</v>
      </c>
      <c r="E54" s="569"/>
      <c r="F54" s="570"/>
      <c r="Q54" s="21"/>
    </row>
    <row r="55" spans="1:17" x14ac:dyDescent="0.2">
      <c r="Q55" s="21"/>
    </row>
    <row r="56" spans="1:17" x14ac:dyDescent="0.2">
      <c r="A56" s="12"/>
      <c r="B56" s="12"/>
      <c r="C56" s="19"/>
      <c r="D56" s="8"/>
      <c r="E56" s="30"/>
      <c r="F56" s="13"/>
      <c r="G56" s="13"/>
      <c r="H56" s="13"/>
      <c r="I56" s="13"/>
      <c r="J56" s="37"/>
      <c r="K56" s="13"/>
      <c r="L56" s="13"/>
      <c r="M56" s="13"/>
      <c r="N56" s="14"/>
      <c r="O56" s="13"/>
      <c r="P56" s="31"/>
      <c r="Q56" s="21"/>
    </row>
    <row r="57" spans="1:17" s="549" customFormat="1" x14ac:dyDescent="0.2">
      <c r="A57" s="542" t="s">
        <v>287</v>
      </c>
      <c r="B57" s="542" t="s">
        <v>16</v>
      </c>
      <c r="C57" s="384">
        <v>17</v>
      </c>
      <c r="D57" s="543"/>
      <c r="E57" s="550"/>
      <c r="F57" s="545"/>
      <c r="G57" s="545">
        <f>710*(1+CALC!$A$2)</f>
        <v>514.75</v>
      </c>
      <c r="H57" s="545">
        <f>5000*(1+CALC!$A$2)</f>
        <v>3625</v>
      </c>
      <c r="I57" s="545"/>
      <c r="J57" s="545"/>
      <c r="K57" s="545">
        <v>468</v>
      </c>
      <c r="L57" s="545"/>
      <c r="M57" s="545">
        <f>SUM(E57:L57)</f>
        <v>4607.75</v>
      </c>
      <c r="N57" s="546">
        <f>M57/CALC!$A$8*CALC!$A$6</f>
        <v>175.34626489572435</v>
      </c>
      <c r="O57" s="545">
        <f t="shared" ref="O57:O59" si="10">+M57+N57</f>
        <v>4783.0962648957247</v>
      </c>
      <c r="P57" s="547"/>
      <c r="Q57" s="548"/>
    </row>
    <row r="58" spans="1:17" x14ac:dyDescent="0.2">
      <c r="A58" s="47"/>
      <c r="B58" s="12"/>
      <c r="C58" s="19"/>
      <c r="D58" s="8"/>
      <c r="E58" s="13"/>
      <c r="F58" s="13"/>
      <c r="G58" s="13"/>
      <c r="H58" s="13"/>
      <c r="I58" s="13"/>
      <c r="J58" s="37"/>
      <c r="K58" s="13"/>
      <c r="L58" s="13"/>
      <c r="M58" s="13">
        <f>SUM(E58:L58)</f>
        <v>0</v>
      </c>
      <c r="N58" s="13"/>
      <c r="O58" s="13">
        <f t="shared" si="10"/>
        <v>0</v>
      </c>
      <c r="P58" s="31"/>
      <c r="Q58" s="21"/>
    </row>
    <row r="59" spans="1:17" s="18" customFormat="1" x14ac:dyDescent="0.2">
      <c r="A59" s="35"/>
      <c r="B59" s="4" t="s">
        <v>14</v>
      </c>
      <c r="C59" s="26"/>
      <c r="D59" s="16">
        <f t="shared" ref="D59:K59" si="11">SUM(D56:D58)</f>
        <v>0</v>
      </c>
      <c r="E59" s="14">
        <f t="shared" si="11"/>
        <v>0</v>
      </c>
      <c r="F59" s="14">
        <f t="shared" si="11"/>
        <v>0</v>
      </c>
      <c r="G59" s="14">
        <f t="shared" si="11"/>
        <v>514.75</v>
      </c>
      <c r="H59" s="14">
        <f t="shared" si="11"/>
        <v>3625</v>
      </c>
      <c r="I59" s="14">
        <f t="shared" si="11"/>
        <v>0</v>
      </c>
      <c r="J59" s="32">
        <f t="shared" si="11"/>
        <v>0</v>
      </c>
      <c r="K59" s="14">
        <f t="shared" si="11"/>
        <v>468</v>
      </c>
      <c r="L59" s="14"/>
      <c r="M59" s="14">
        <f>SUM(M56:M58)</f>
        <v>4607.75</v>
      </c>
      <c r="N59" s="14">
        <f>M59/CALC!$A$8*CALC!$A$6</f>
        <v>175.34626489572435</v>
      </c>
      <c r="O59" s="14">
        <f t="shared" si="10"/>
        <v>4783.0962648957247</v>
      </c>
      <c r="P59" s="33"/>
      <c r="Q59" s="36"/>
    </row>
    <row r="60" spans="1:17" x14ac:dyDescent="0.2">
      <c r="Q60" s="21"/>
    </row>
    <row r="61" spans="1:17" x14ac:dyDescent="0.2">
      <c r="A61" s="42" t="s">
        <v>286</v>
      </c>
      <c r="B61" s="66" t="s">
        <v>14</v>
      </c>
      <c r="C61" s="67"/>
      <c r="D61" s="68">
        <f>+D59</f>
        <v>0</v>
      </c>
      <c r="E61" s="69">
        <f>+E59</f>
        <v>0</v>
      </c>
      <c r="F61" s="69">
        <f t="shared" ref="F61:M61" si="12">+F59</f>
        <v>0</v>
      </c>
      <c r="G61" s="69">
        <f t="shared" si="12"/>
        <v>514.75</v>
      </c>
      <c r="H61" s="69">
        <f t="shared" si="12"/>
        <v>3625</v>
      </c>
      <c r="I61" s="69">
        <f t="shared" si="12"/>
        <v>0</v>
      </c>
      <c r="J61" s="69">
        <f t="shared" si="12"/>
        <v>0</v>
      </c>
      <c r="K61" s="69">
        <f t="shared" si="12"/>
        <v>468</v>
      </c>
      <c r="L61" s="69">
        <f t="shared" si="12"/>
        <v>0</v>
      </c>
      <c r="M61" s="69">
        <f t="shared" si="12"/>
        <v>4607.75</v>
      </c>
      <c r="N61" s="69">
        <f>+N59</f>
        <v>175.34626489572435</v>
      </c>
      <c r="O61" s="69">
        <f>+O59</f>
        <v>4783.0962648957247</v>
      </c>
      <c r="P61" s="24"/>
      <c r="Q61" s="51"/>
    </row>
    <row r="62" spans="1:17" s="9" customFormat="1" ht="12" thickBot="1" x14ac:dyDescent="0.25">
      <c r="A62" s="143"/>
      <c r="B62" s="144"/>
      <c r="C62" s="145"/>
      <c r="D62" s="146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8"/>
    </row>
    <row r="63" spans="1:17" ht="12.75" thickTop="1" thickBot="1" x14ac:dyDescent="0.25">
      <c r="Q63" s="21"/>
    </row>
    <row r="64" spans="1:17" ht="12" thickBot="1" x14ac:dyDescent="0.25">
      <c r="A64" s="330" t="s">
        <v>10</v>
      </c>
      <c r="B64" s="331" t="s">
        <v>146</v>
      </c>
      <c r="D64" s="568" t="s">
        <v>140</v>
      </c>
      <c r="E64" s="569"/>
      <c r="F64" s="570"/>
      <c r="Q64" s="21"/>
    </row>
    <row r="65" spans="1:17" x14ac:dyDescent="0.2">
      <c r="Q65" s="21"/>
    </row>
    <row r="66" spans="1:17" x14ac:dyDescent="0.2">
      <c r="A66" s="12" t="s">
        <v>125</v>
      </c>
      <c r="B66" s="12" t="s">
        <v>133</v>
      </c>
      <c r="C66" s="19">
        <v>411</v>
      </c>
      <c r="D66" s="8">
        <v>30000</v>
      </c>
      <c r="E66" s="30">
        <f>+D66/P66*(CALC!$A$4)</f>
        <v>106194.69026548673</v>
      </c>
      <c r="F66" s="13">
        <v>3000</v>
      </c>
      <c r="G66" s="13">
        <f>53688.31</f>
        <v>53688.31</v>
      </c>
      <c r="H66" s="13">
        <v>60000</v>
      </c>
      <c r="I66" s="13">
        <f>0</f>
        <v>0</v>
      </c>
      <c r="J66" s="37"/>
      <c r="K66" s="37">
        <v>17160</v>
      </c>
      <c r="L66" s="13"/>
      <c r="M66" s="13">
        <f t="shared" ref="M66:M71" si="13">SUM(E66:L66)</f>
        <v>240043.00026548671</v>
      </c>
      <c r="N66" s="13">
        <f>M66/CALC!$A$8*CALC!$A$6</f>
        <v>9134.7498260358007</v>
      </c>
      <c r="O66" s="13">
        <f t="shared" ref="O66:O71" si="14">+M66+N66</f>
        <v>249177.75009152252</v>
      </c>
      <c r="P66" s="31">
        <v>4.5199999999999996</v>
      </c>
      <c r="Q66" s="97"/>
    </row>
    <row r="67" spans="1:17" x14ac:dyDescent="0.2">
      <c r="A67" s="12" t="s">
        <v>125</v>
      </c>
      <c r="B67" s="12" t="s">
        <v>134</v>
      </c>
      <c r="C67" s="19">
        <v>412</v>
      </c>
      <c r="D67" s="8">
        <v>40000</v>
      </c>
      <c r="E67" s="30">
        <f>+D67/P67*(CALC!$A$4)</f>
        <v>141592.92035398231</v>
      </c>
      <c r="F67" s="13">
        <v>3000</v>
      </c>
      <c r="G67" s="13">
        <f>21800*(1+CALC!$A$2)</f>
        <v>15805</v>
      </c>
      <c r="H67" s="13">
        <v>60000</v>
      </c>
      <c r="I67" s="13">
        <f>11881.44</f>
        <v>11881.44</v>
      </c>
      <c r="J67" s="37"/>
      <c r="K67" s="37">
        <v>17160</v>
      </c>
      <c r="L67" s="13"/>
      <c r="M67" s="13">
        <f t="shared" si="13"/>
        <v>249439.36035398231</v>
      </c>
      <c r="N67" s="13">
        <f>M67/CALC!$A$8*CALC!$A$6</f>
        <v>9492.3249212846677</v>
      </c>
      <c r="O67" s="13">
        <f t="shared" si="14"/>
        <v>258931.68527526697</v>
      </c>
      <c r="P67" s="31">
        <v>4.5199999999999996</v>
      </c>
      <c r="Q67" s="97"/>
    </row>
    <row r="68" spans="1:17" x14ac:dyDescent="0.2">
      <c r="A68" s="12" t="s">
        <v>125</v>
      </c>
      <c r="B68" s="12" t="s">
        <v>135</v>
      </c>
      <c r="C68" s="19">
        <v>413</v>
      </c>
      <c r="D68" s="8">
        <v>80000</v>
      </c>
      <c r="E68" s="30">
        <f>+D68/P68*(CALC!$A$4)</f>
        <v>283185.84070796461</v>
      </c>
      <c r="F68" s="13">
        <v>3000</v>
      </c>
      <c r="G68" s="13">
        <f>21800*(1+CALC!$A$2)</f>
        <v>15805</v>
      </c>
      <c r="H68" s="13">
        <v>60000</v>
      </c>
      <c r="I68" s="13">
        <f>0</f>
        <v>0</v>
      </c>
      <c r="J68" s="37"/>
      <c r="K68" s="37">
        <v>17160</v>
      </c>
      <c r="L68" s="13"/>
      <c r="M68" s="13">
        <f t="shared" si="13"/>
        <v>379150.84070796461</v>
      </c>
      <c r="N68" s="13">
        <f>M68/CALC!$A$8*CALC!$A$6</f>
        <v>14428.448537836332</v>
      </c>
      <c r="O68" s="13">
        <f t="shared" si="14"/>
        <v>393579.28924580093</v>
      </c>
      <c r="P68" s="31">
        <v>4.5199999999999996</v>
      </c>
      <c r="Q68" s="97"/>
    </row>
    <row r="69" spans="1:17" x14ac:dyDescent="0.2">
      <c r="A69" s="12" t="s">
        <v>125</v>
      </c>
      <c r="B69" s="12" t="s">
        <v>136</v>
      </c>
      <c r="C69" s="19">
        <v>414</v>
      </c>
      <c r="D69" s="8">
        <v>60000</v>
      </c>
      <c r="E69" s="30">
        <f>+D69/P69*(CALC!$A$4)</f>
        <v>212389.38053097346</v>
      </c>
      <c r="F69" s="13">
        <v>3000</v>
      </c>
      <c r="G69" s="13">
        <f>21800*(1+CALC!$A$2)</f>
        <v>15805</v>
      </c>
      <c r="H69" s="13">
        <v>60000</v>
      </c>
      <c r="I69" s="13">
        <v>20403.09</v>
      </c>
      <c r="J69" s="37"/>
      <c r="K69" s="37">
        <v>17160</v>
      </c>
      <c r="L69" s="13"/>
      <c r="M69" s="13">
        <f t="shared" si="13"/>
        <v>328757.47053097346</v>
      </c>
      <c r="N69" s="13">
        <f>M69/CALC!$A$8*CALC!$A$6</f>
        <v>12510.747005408793</v>
      </c>
      <c r="O69" s="13">
        <f t="shared" si="14"/>
        <v>341268.21753638226</v>
      </c>
      <c r="P69" s="31">
        <v>4.5199999999999996</v>
      </c>
      <c r="Q69" s="97"/>
    </row>
    <row r="70" spans="1:17" x14ac:dyDescent="0.2">
      <c r="A70" s="12" t="s">
        <v>125</v>
      </c>
      <c r="B70" s="12" t="s">
        <v>137</v>
      </c>
      <c r="C70" s="19">
        <v>415</v>
      </c>
      <c r="D70" s="8">
        <v>40000</v>
      </c>
      <c r="E70" s="30">
        <f>+D70/P70*(CALC!$A$4)</f>
        <v>141592.92035398231</v>
      </c>
      <c r="F70" s="13">
        <v>3000</v>
      </c>
      <c r="G70" s="13">
        <f>21800*(1+CALC!$A$2)</f>
        <v>15805</v>
      </c>
      <c r="H70" s="13">
        <v>60000</v>
      </c>
      <c r="I70" s="13">
        <v>20403.09</v>
      </c>
      <c r="J70" s="37"/>
      <c r="K70" s="37">
        <v>17160</v>
      </c>
      <c r="L70" s="13"/>
      <c r="M70" s="13">
        <f t="shared" si="13"/>
        <v>257961.0103539823</v>
      </c>
      <c r="N70" s="13">
        <f>M70/CALC!$A$8*CALC!$A$6</f>
        <v>9816.6132394982524</v>
      </c>
      <c r="O70" s="13">
        <f t="shared" si="14"/>
        <v>267777.62359348056</v>
      </c>
      <c r="P70" s="31">
        <v>4.5199999999999996</v>
      </c>
      <c r="Q70" s="97"/>
    </row>
    <row r="71" spans="1:17" x14ac:dyDescent="0.2">
      <c r="A71" s="12" t="s">
        <v>125</v>
      </c>
      <c r="B71" s="12" t="s">
        <v>138</v>
      </c>
      <c r="C71" s="19">
        <v>416</v>
      </c>
      <c r="D71" s="8">
        <v>20000</v>
      </c>
      <c r="E71" s="30">
        <f>+D71/P71*(CALC!$A$4)</f>
        <v>70796.460176991153</v>
      </c>
      <c r="F71" s="13">
        <v>3000</v>
      </c>
      <c r="G71" s="13">
        <f>21800*(1+CALC!$A$2)</f>
        <v>15805</v>
      </c>
      <c r="H71" s="13">
        <v>60000</v>
      </c>
      <c r="I71" s="13">
        <v>20403.09</v>
      </c>
      <c r="J71" s="37"/>
      <c r="K71" s="37">
        <v>17160</v>
      </c>
      <c r="L71" s="13"/>
      <c r="M71" s="13">
        <f t="shared" si="13"/>
        <v>187164.55017699115</v>
      </c>
      <c r="N71" s="13">
        <f>M71/CALC!$A$8*CALC!$A$6</f>
        <v>7122.4794735877131</v>
      </c>
      <c r="O71" s="13">
        <f t="shared" si="14"/>
        <v>194287.02965057886</v>
      </c>
      <c r="P71" s="31">
        <v>4.5199999999999996</v>
      </c>
      <c r="Q71" s="97"/>
    </row>
    <row r="72" spans="1:17" s="549" customFormat="1" x14ac:dyDescent="0.2">
      <c r="A72" s="542" t="s">
        <v>141</v>
      </c>
      <c r="B72" s="542" t="s">
        <v>197</v>
      </c>
      <c r="C72" s="384">
        <v>418</v>
      </c>
      <c r="D72" s="543">
        <v>40000</v>
      </c>
      <c r="E72" s="550">
        <f>+D72/P72*(CALC!$A$4)</f>
        <v>179271.70868347341</v>
      </c>
      <c r="F72" s="545">
        <v>3000</v>
      </c>
      <c r="G72" s="545">
        <f>21800*(1+CALC!$A$2)</f>
        <v>15805</v>
      </c>
      <c r="H72" s="13">
        <v>60000</v>
      </c>
      <c r="I72" s="545">
        <f>878480/8</f>
        <v>109810</v>
      </c>
      <c r="J72" s="545"/>
      <c r="K72" s="545">
        <v>10200</v>
      </c>
      <c r="L72" s="545"/>
      <c r="M72" s="545">
        <f>SUM(E72:L72)</f>
        <v>378086.70868347341</v>
      </c>
      <c r="N72" s="545">
        <f>M72/CALC!$A$8*CALC!$A$6</f>
        <v>14387.953377324053</v>
      </c>
      <c r="O72" s="545">
        <f>+M72+N72</f>
        <v>392474.66206079745</v>
      </c>
      <c r="P72" s="547">
        <v>3.57</v>
      </c>
      <c r="Q72" s="552"/>
    </row>
    <row r="73" spans="1:17" x14ac:dyDescent="0.2">
      <c r="A73" s="47"/>
      <c r="B73" s="12"/>
      <c r="C73" s="19"/>
      <c r="D73" s="8"/>
      <c r="E73" s="13"/>
      <c r="F73" s="13"/>
      <c r="G73" s="13"/>
      <c r="H73" s="13"/>
      <c r="I73" s="13"/>
      <c r="J73" s="37"/>
      <c r="K73" s="13"/>
      <c r="L73" s="13"/>
      <c r="M73" s="13"/>
      <c r="N73" s="13"/>
      <c r="O73" s="13"/>
      <c r="P73" s="31"/>
      <c r="Q73" s="21"/>
    </row>
    <row r="74" spans="1:17" s="18" customFormat="1" x14ac:dyDescent="0.2">
      <c r="A74" s="35"/>
      <c r="B74" s="4" t="s">
        <v>14</v>
      </c>
      <c r="C74" s="26"/>
      <c r="D74" s="16">
        <f>SUM(D66:D73)</f>
        <v>310000</v>
      </c>
      <c r="E74" s="14">
        <f t="shared" ref="E74:M74" si="15">SUM(E66:E73)</f>
        <v>1135023.921072854</v>
      </c>
      <c r="F74" s="14">
        <f t="shared" si="15"/>
        <v>21000</v>
      </c>
      <c r="G74" s="14">
        <f t="shared" si="15"/>
        <v>148518.31</v>
      </c>
      <c r="H74" s="14">
        <f t="shared" si="15"/>
        <v>420000</v>
      </c>
      <c r="I74" s="14">
        <f t="shared" si="15"/>
        <v>182900.71</v>
      </c>
      <c r="J74" s="32">
        <f t="shared" si="15"/>
        <v>0</v>
      </c>
      <c r="K74" s="14">
        <f t="shared" si="15"/>
        <v>113160</v>
      </c>
      <c r="L74" s="14"/>
      <c r="M74" s="14">
        <f t="shared" si="15"/>
        <v>2020602.9410728537</v>
      </c>
      <c r="N74" s="14">
        <f>M74/CALC!$A$8*CALC!$A$6</f>
        <v>76893.316380975608</v>
      </c>
      <c r="O74" s="14">
        <f>+M74+N74</f>
        <v>2097496.2574538295</v>
      </c>
      <c r="P74" s="33"/>
      <c r="Q74" s="135">
        <f>(+O74/D74)*(1+CALC!$A$3)</f>
        <v>6.7661169595284827</v>
      </c>
    </row>
    <row r="75" spans="1:17" ht="12" thickBot="1" x14ac:dyDescent="0.25">
      <c r="Q75" s="21"/>
    </row>
    <row r="76" spans="1:17" ht="12" thickBot="1" x14ac:dyDescent="0.25">
      <c r="A76" s="330" t="s">
        <v>10</v>
      </c>
      <c r="B76" s="331" t="s">
        <v>681</v>
      </c>
      <c r="D76" s="568" t="s">
        <v>671</v>
      </c>
      <c r="E76" s="569"/>
      <c r="F76" s="570"/>
      <c r="Q76" s="21"/>
    </row>
    <row r="77" spans="1:17" x14ac:dyDescent="0.2">
      <c r="Q77" s="21"/>
    </row>
    <row r="78" spans="1:17" s="9" customFormat="1" x14ac:dyDescent="0.2">
      <c r="A78" s="320" t="str">
        <f>+'1-10'!C3</f>
        <v>ISUZU KB200i 2x4 CANOPY  [133]</v>
      </c>
      <c r="B78" s="61" t="str">
        <f>+'1-10'!R3</f>
        <v>CMB 436 L</v>
      </c>
      <c r="C78" s="553">
        <v>602</v>
      </c>
      <c r="D78" s="46">
        <v>27000</v>
      </c>
      <c r="E78" s="62">
        <f>+D78/P78*(CALC!$A$4)</f>
        <v>64767.616191904046</v>
      </c>
      <c r="F78" s="37">
        <v>3000</v>
      </c>
      <c r="G78" s="13">
        <f>5482*(1+CALC!$A$2)</f>
        <v>3974.45</v>
      </c>
      <c r="H78" s="13">
        <v>35000</v>
      </c>
      <c r="I78" s="37">
        <v>16444.75</v>
      </c>
      <c r="J78" s="37"/>
      <c r="K78" s="37">
        <v>960</v>
      </c>
      <c r="L78" s="37"/>
      <c r="M78" s="37">
        <f>SUM(E78:L78)</f>
        <v>124146.81619190404</v>
      </c>
      <c r="N78" s="37">
        <f>M78/CALC!$A$8*CALC!$A$6</f>
        <v>4724.3623282396857</v>
      </c>
      <c r="O78" s="37">
        <f>+M78+N78</f>
        <v>128871.17852014373</v>
      </c>
      <c r="P78" s="48">
        <v>6.67</v>
      </c>
      <c r="Q78" s="49"/>
    </row>
    <row r="79" spans="1:17" s="9" customFormat="1" x14ac:dyDescent="0.2">
      <c r="A79" s="320" t="str">
        <f>+'1-10'!C4</f>
        <v>ISUZU KB200i 2x4 MESH [133]</v>
      </c>
      <c r="B79" s="61" t="str">
        <f>+'1-10'!R4</f>
        <v>CMB 455 L</v>
      </c>
      <c r="C79" s="54">
        <v>603</v>
      </c>
      <c r="D79" s="46">
        <v>27000</v>
      </c>
      <c r="E79" s="62">
        <f>+D79/P79*(CALC!$A$4)</f>
        <v>64767.616191904046</v>
      </c>
      <c r="F79" s="37">
        <v>3000</v>
      </c>
      <c r="G79" s="13">
        <f>5482*(1+CALC!$A$2)</f>
        <v>3974.45</v>
      </c>
      <c r="H79" s="13">
        <v>35000</v>
      </c>
      <c r="I79" s="37">
        <v>16066.59</v>
      </c>
      <c r="J79" s="37"/>
      <c r="K79" s="37">
        <v>960</v>
      </c>
      <c r="L79" s="37"/>
      <c r="M79" s="37">
        <f t="shared" ref="M79:M83" si="16">SUM(E79:L79)</f>
        <v>123768.65619190404</v>
      </c>
      <c r="N79" s="37">
        <f>M79/CALC!$A$8*CALC!$A$6</f>
        <v>4709.9715857877363</v>
      </c>
      <c r="O79" s="37">
        <f t="shared" ref="O79:O83" si="17">+M79+N79</f>
        <v>128478.62777769177</v>
      </c>
      <c r="P79" s="48">
        <v>6.67</v>
      </c>
      <c r="Q79" s="49"/>
    </row>
    <row r="80" spans="1:17" s="9" customFormat="1" x14ac:dyDescent="0.2">
      <c r="A80" s="320" t="str">
        <f>+'1-10'!C5</f>
        <v>ISUZU KB200i 2x4 MESH [133]</v>
      </c>
      <c r="B80" s="61" t="str">
        <f>+'1-10'!R5</f>
        <v>CMB 576 L</v>
      </c>
      <c r="C80" s="54">
        <v>604</v>
      </c>
      <c r="D80" s="46">
        <v>30600</v>
      </c>
      <c r="E80" s="62">
        <f>+D80/P80*(CALC!$A$4)</f>
        <v>73403.298350824582</v>
      </c>
      <c r="F80" s="37">
        <v>3000</v>
      </c>
      <c r="G80" s="13">
        <f>5482*(1+CALC!$A$2)</f>
        <v>3974.45</v>
      </c>
      <c r="H80" s="13">
        <v>35000</v>
      </c>
      <c r="I80" s="37">
        <v>16066.59</v>
      </c>
      <c r="J80" s="37"/>
      <c r="K80" s="37">
        <v>960</v>
      </c>
      <c r="L80" s="37"/>
      <c r="M80" s="37">
        <f t="shared" si="16"/>
        <v>132404.33835082458</v>
      </c>
      <c r="N80" s="37">
        <f>M80/CALC!$A$8*CALC!$A$6</f>
        <v>5038.5993566940051</v>
      </c>
      <c r="O80" s="37">
        <f t="shared" si="17"/>
        <v>137442.93770751858</v>
      </c>
      <c r="P80" s="48">
        <v>6.67</v>
      </c>
      <c r="Q80" s="49"/>
    </row>
    <row r="81" spans="1:17" s="9" customFormat="1" x14ac:dyDescent="0.2">
      <c r="A81" s="320" t="s">
        <v>638</v>
      </c>
      <c r="B81" s="61" t="s">
        <v>567</v>
      </c>
      <c r="C81" s="54">
        <v>605</v>
      </c>
      <c r="D81" s="46">
        <v>39000</v>
      </c>
      <c r="E81" s="62">
        <f>+D81/P81*(CALC!$A$4)</f>
        <v>93553.223388305851</v>
      </c>
      <c r="F81" s="37">
        <v>3000</v>
      </c>
      <c r="G81" s="13">
        <f>5482*(1+CALC!$A$2)</f>
        <v>3974.45</v>
      </c>
      <c r="H81" s="13">
        <v>35000</v>
      </c>
      <c r="I81" s="566">
        <v>16066.59</v>
      </c>
      <c r="J81" s="37"/>
      <c r="K81" s="37">
        <v>960</v>
      </c>
      <c r="L81" s="37"/>
      <c r="M81" s="37">
        <f>SUM(E81:L81)</f>
        <v>152554.26338830584</v>
      </c>
      <c r="N81" s="37">
        <f>M81/CALC!$A$8*CALC!$A$6</f>
        <v>5805.3974888086341</v>
      </c>
      <c r="O81" s="37">
        <f>+M81+N81</f>
        <v>158359.66087711448</v>
      </c>
      <c r="P81" s="48">
        <v>6.67</v>
      </c>
      <c r="Q81" s="49"/>
    </row>
    <row r="82" spans="1:17" s="9" customFormat="1" x14ac:dyDescent="0.2">
      <c r="A82" s="320" t="str">
        <f>+'1-10'!C7</f>
        <v>ISUZU KB200i 2x4 MESH [133]</v>
      </c>
      <c r="B82" s="61" t="str">
        <f>+'1-10'!R7</f>
        <v>CMB 490 L</v>
      </c>
      <c r="C82" s="54">
        <v>606</v>
      </c>
      <c r="D82" s="46">
        <v>27000</v>
      </c>
      <c r="E82" s="62">
        <f>+D82/P82*(CALC!$A$4)</f>
        <v>64767.616191904046</v>
      </c>
      <c r="F82" s="37">
        <v>3000</v>
      </c>
      <c r="G82" s="13">
        <f>5482*(1+CALC!$A$2)</f>
        <v>3974.45</v>
      </c>
      <c r="H82" s="13">
        <v>35000</v>
      </c>
      <c r="I82" s="37">
        <v>16066.59</v>
      </c>
      <c r="J82" s="37"/>
      <c r="K82" s="37">
        <v>960</v>
      </c>
      <c r="L82" s="37"/>
      <c r="M82" s="37">
        <f t="shared" si="16"/>
        <v>123768.65619190404</v>
      </c>
      <c r="N82" s="37">
        <f>M82/CALC!$A$8*CALC!$A$6</f>
        <v>4709.9715857877363</v>
      </c>
      <c r="O82" s="37">
        <f t="shared" si="17"/>
        <v>128478.62777769177</v>
      </c>
      <c r="P82" s="48">
        <v>6.67</v>
      </c>
      <c r="Q82" s="49"/>
    </row>
    <row r="83" spans="1:17" s="9" customFormat="1" x14ac:dyDescent="0.2">
      <c r="A83" s="320" t="str">
        <f>+'1-10'!C8</f>
        <v>ISUZU KB200i 2x4 MESH [133]</v>
      </c>
      <c r="B83" s="61" t="str">
        <f>+'1-10'!R8</f>
        <v>CMB 486 L</v>
      </c>
      <c r="C83" s="54">
        <v>607</v>
      </c>
      <c r="D83" s="46">
        <v>27000</v>
      </c>
      <c r="E83" s="62">
        <f>+D83/P83*(CALC!$A$4)</f>
        <v>64767.616191904046</v>
      </c>
      <c r="F83" s="37">
        <v>3000</v>
      </c>
      <c r="G83" s="13">
        <f>5482*(1+CALC!$A$2)</f>
        <v>3974.45</v>
      </c>
      <c r="H83" s="13">
        <v>35000</v>
      </c>
      <c r="I83" s="37">
        <v>16066.59</v>
      </c>
      <c r="J83" s="37"/>
      <c r="K83" s="37">
        <v>960</v>
      </c>
      <c r="L83" s="37"/>
      <c r="M83" s="37">
        <f t="shared" si="16"/>
        <v>123768.65619190404</v>
      </c>
      <c r="N83" s="37">
        <f>M83/CALC!$A$8*CALC!$A$6</f>
        <v>4709.9715857877363</v>
      </c>
      <c r="O83" s="37">
        <f t="shared" si="17"/>
        <v>128478.62777769177</v>
      </c>
      <c r="P83" s="48">
        <v>6.67</v>
      </c>
      <c r="Q83" s="49"/>
    </row>
    <row r="84" spans="1:17" x14ac:dyDescent="0.2">
      <c r="A84" s="47"/>
      <c r="B84" s="12"/>
      <c r="C84" s="19"/>
      <c r="D84" s="8"/>
      <c r="E84" s="12"/>
      <c r="F84" s="13"/>
      <c r="G84" s="37"/>
      <c r="H84" s="13"/>
      <c r="I84" s="13"/>
      <c r="J84" s="37"/>
      <c r="K84" s="13"/>
      <c r="L84" s="13"/>
      <c r="M84" s="13"/>
      <c r="N84" s="13"/>
      <c r="O84" s="13"/>
      <c r="P84" s="31"/>
      <c r="Q84" s="21"/>
    </row>
    <row r="85" spans="1:17" s="18" customFormat="1" x14ac:dyDescent="0.2">
      <c r="A85" s="35"/>
      <c r="B85" s="4" t="s">
        <v>14</v>
      </c>
      <c r="C85" s="26"/>
      <c r="D85" s="16">
        <f t="shared" ref="D85:K85" si="18">SUM(D78:D84)</f>
        <v>177600</v>
      </c>
      <c r="E85" s="14">
        <f t="shared" si="18"/>
        <v>426026.98650674667</v>
      </c>
      <c r="F85" s="14">
        <f t="shared" si="18"/>
        <v>18000</v>
      </c>
      <c r="G85" s="32">
        <f t="shared" si="18"/>
        <v>23846.7</v>
      </c>
      <c r="H85" s="14">
        <f t="shared" si="18"/>
        <v>210000</v>
      </c>
      <c r="I85" s="14">
        <f t="shared" si="18"/>
        <v>96777.7</v>
      </c>
      <c r="J85" s="32">
        <f t="shared" si="18"/>
        <v>0</v>
      </c>
      <c r="K85" s="14">
        <f t="shared" si="18"/>
        <v>5760</v>
      </c>
      <c r="L85" s="14">
        <f>+L78+L79+L80+L81+L82+L83</f>
        <v>0</v>
      </c>
      <c r="M85" s="14">
        <f>SUM(M78:M84)</f>
        <v>780411.38650674676</v>
      </c>
      <c r="N85" s="14">
        <f>M85/CALC!$A$8*CALC!$A$6</f>
        <v>29698.273931105541</v>
      </c>
      <c r="O85" s="14">
        <f>+M85+N85</f>
        <v>810109.66043785226</v>
      </c>
      <c r="P85" s="33"/>
      <c r="Q85" s="135">
        <f>(+O85/D85)*(1+CALC!$A$3)</f>
        <v>4.5614282682311504</v>
      </c>
    </row>
    <row r="86" spans="1:17" ht="12" thickBot="1" x14ac:dyDescent="0.25">
      <c r="Q86" s="21"/>
    </row>
    <row r="87" spans="1:17" ht="12" thickBot="1" x14ac:dyDescent="0.25">
      <c r="A87" s="330" t="s">
        <v>10</v>
      </c>
      <c r="B87" s="331" t="s">
        <v>682</v>
      </c>
      <c r="D87" s="568" t="s">
        <v>629</v>
      </c>
      <c r="E87" s="569"/>
      <c r="F87" s="570"/>
      <c r="Q87" s="21"/>
    </row>
    <row r="88" spans="1:17" x14ac:dyDescent="0.2">
      <c r="Q88" s="21"/>
    </row>
    <row r="89" spans="1:17" s="9" customFormat="1" x14ac:dyDescent="0.2">
      <c r="A89" s="61" t="str">
        <f>+'1-10'!C77</f>
        <v>HINO 300 [133]</v>
      </c>
      <c r="B89" s="61" t="str">
        <f>+'1-10'!R77</f>
        <v>CML 496 L</v>
      </c>
      <c r="C89" s="54">
        <v>676</v>
      </c>
      <c r="D89" s="46">
        <v>42000</v>
      </c>
      <c r="E89" s="62">
        <f>+D89/P89*(CALC!$A$4)</f>
        <v>336000</v>
      </c>
      <c r="F89" s="37">
        <v>3000</v>
      </c>
      <c r="G89" s="37">
        <f>6057*(1+CALC!$A$2)</f>
        <v>4391.3249999999998</v>
      </c>
      <c r="H89" s="37">
        <f>70000</f>
        <v>70000</v>
      </c>
      <c r="I89" s="37">
        <v>25929.71</v>
      </c>
      <c r="J89" s="37"/>
      <c r="K89" s="37">
        <v>2400</v>
      </c>
      <c r="L89" s="37"/>
      <c r="M89" s="37">
        <f>SUM(E89:L89)</f>
        <v>441721.03500000003</v>
      </c>
      <c r="N89" s="32">
        <f>M89/CALC!$A$8*CALC!$A$6</f>
        <v>16809.534721528631</v>
      </c>
      <c r="O89" s="37">
        <f>+M89+N89</f>
        <v>458530.56972152868</v>
      </c>
      <c r="P89" s="48">
        <v>2</v>
      </c>
      <c r="Q89" s="49"/>
    </row>
    <row r="90" spans="1:17" s="9" customFormat="1" x14ac:dyDescent="0.2">
      <c r="A90" s="61" t="str">
        <f>+'1-10'!C78</f>
        <v>HINO 300 [133]</v>
      </c>
      <c r="B90" s="61" t="str">
        <f>+'1-10'!R78</f>
        <v>CMN 332 L</v>
      </c>
      <c r="C90" s="54">
        <v>677</v>
      </c>
      <c r="D90" s="46">
        <v>42000</v>
      </c>
      <c r="E90" s="62">
        <f>+D90/P90*(CALC!$A$4)</f>
        <v>336000</v>
      </c>
      <c r="F90" s="37">
        <v>3000</v>
      </c>
      <c r="G90" s="37">
        <f>6057*(1+CALC!$A$2)</f>
        <v>4391.3249999999998</v>
      </c>
      <c r="H90" s="37">
        <f>70000</f>
        <v>70000</v>
      </c>
      <c r="I90" s="37">
        <v>43548.24</v>
      </c>
      <c r="J90" s="37"/>
      <c r="K90" s="37">
        <v>2400</v>
      </c>
      <c r="L90" s="37"/>
      <c r="M90" s="37">
        <f>SUM(E90:L90)</f>
        <v>459339.565</v>
      </c>
      <c r="N90" s="37">
        <f>M90/CALC!$A$8*CALC!$A$6</f>
        <v>17480.001528202876</v>
      </c>
      <c r="O90" s="37">
        <f>+M90+N90</f>
        <v>476819.56652820285</v>
      </c>
      <c r="P90" s="48">
        <v>2</v>
      </c>
      <c r="Q90" s="49"/>
    </row>
    <row r="91" spans="1:17" s="9" customFormat="1" x14ac:dyDescent="0.2">
      <c r="A91" s="61" t="str">
        <f>+'1-10'!C79</f>
        <v>HINO 300 [133]</v>
      </c>
      <c r="B91" s="61" t="str">
        <f>+'1-10'!R79</f>
        <v>CML 494 L</v>
      </c>
      <c r="C91" s="54">
        <v>678</v>
      </c>
      <c r="D91" s="46">
        <v>42000</v>
      </c>
      <c r="E91" s="62">
        <f>+D91/P91*(CALC!$A$4)</f>
        <v>336000</v>
      </c>
      <c r="F91" s="37">
        <v>3000</v>
      </c>
      <c r="G91" s="37">
        <f>6057*(1+CALC!$A$2)</f>
        <v>4391.3249999999998</v>
      </c>
      <c r="H91" s="37">
        <f>70000</f>
        <v>70000</v>
      </c>
      <c r="I91" s="37">
        <v>43548.24</v>
      </c>
      <c r="J91" s="37"/>
      <c r="K91" s="37">
        <v>2400</v>
      </c>
      <c r="L91" s="37"/>
      <c r="M91" s="37">
        <f>SUM(E91:L91)</f>
        <v>459339.565</v>
      </c>
      <c r="N91" s="37">
        <f>M91/CALC!$A$8*CALC!$A$6</f>
        <v>17480.001528202876</v>
      </c>
      <c r="O91" s="37">
        <f>+M91+N91</f>
        <v>476819.56652820285</v>
      </c>
      <c r="P91" s="48">
        <v>2</v>
      </c>
      <c r="Q91" s="49"/>
    </row>
    <row r="92" spans="1:17" s="18" customFormat="1" x14ac:dyDescent="0.2">
      <c r="A92" s="35"/>
      <c r="B92" s="4" t="s">
        <v>14</v>
      </c>
      <c r="C92" s="26"/>
      <c r="D92" s="16">
        <f>SUM(D89:D91)</f>
        <v>126000</v>
      </c>
      <c r="E92" s="14">
        <f>SUM(E89:E91)</f>
        <v>1008000</v>
      </c>
      <c r="F92" s="14">
        <f t="shared" ref="F92:O92" si="19">SUM(F89:F91)</f>
        <v>9000</v>
      </c>
      <c r="G92" s="14">
        <f t="shared" si="19"/>
        <v>13173.974999999999</v>
      </c>
      <c r="H92" s="14">
        <f t="shared" si="19"/>
        <v>210000</v>
      </c>
      <c r="I92" s="14">
        <f t="shared" si="19"/>
        <v>113026.19</v>
      </c>
      <c r="J92" s="14">
        <f t="shared" si="19"/>
        <v>0</v>
      </c>
      <c r="K92" s="14">
        <f t="shared" si="19"/>
        <v>7200</v>
      </c>
      <c r="L92" s="14">
        <f>+L89+L90+L91</f>
        <v>0</v>
      </c>
      <c r="M92" s="14">
        <f t="shared" si="19"/>
        <v>1360400.165</v>
      </c>
      <c r="N92" s="14">
        <f t="shared" si="19"/>
        <v>51769.537777934383</v>
      </c>
      <c r="O92" s="14">
        <f t="shared" si="19"/>
        <v>1412169.7027779343</v>
      </c>
      <c r="P92" s="33"/>
      <c r="Q92" s="135">
        <f>(+O92/D92)*(1+CALC!$A$3)</f>
        <v>11.207696053793128</v>
      </c>
    </row>
    <row r="93" spans="1:17" ht="12" thickBot="1" x14ac:dyDescent="0.25">
      <c r="Q93" s="21"/>
    </row>
    <row r="94" spans="1:17" ht="12" thickBot="1" x14ac:dyDescent="0.25">
      <c r="A94" s="330" t="s">
        <v>10</v>
      </c>
      <c r="B94" s="331" t="s">
        <v>683</v>
      </c>
      <c r="D94" s="568" t="s">
        <v>676</v>
      </c>
      <c r="E94" s="569"/>
      <c r="F94" s="570"/>
      <c r="Q94" s="21"/>
    </row>
    <row r="95" spans="1:17" x14ac:dyDescent="0.2">
      <c r="Q95" s="21"/>
    </row>
    <row r="96" spans="1:17" s="9" customFormat="1" x14ac:dyDescent="0.2">
      <c r="A96" s="321" t="str">
        <f>+'1-10'!C89</f>
        <v>ISUZU  FVZ 1600 COMPACTOR [133]</v>
      </c>
      <c r="B96" s="61" t="str">
        <f>+'1-10'!R89</f>
        <v>CNT 192 L</v>
      </c>
      <c r="C96" s="54">
        <v>688</v>
      </c>
      <c r="D96" s="46">
        <v>30000</v>
      </c>
      <c r="E96" s="62">
        <f>+D96/P96*(CALC!$A$4)</f>
        <v>400000</v>
      </c>
      <c r="F96" s="37">
        <v>3000</v>
      </c>
      <c r="G96" s="37">
        <f>9718*(1+CALC!$A$2)</f>
        <v>7045.55</v>
      </c>
      <c r="H96" s="37">
        <f>120000</f>
        <v>120000</v>
      </c>
      <c r="I96" s="37">
        <v>134584.98000000001</v>
      </c>
      <c r="J96" s="37"/>
      <c r="K96" s="37">
        <v>39000</v>
      </c>
      <c r="L96" s="37"/>
      <c r="M96" s="37">
        <f>SUM(E96:L96)</f>
        <v>703630.53</v>
      </c>
      <c r="N96" s="32">
        <f>M96/CALC!$A$8*CALC!$A$6</f>
        <v>26776.406120579228</v>
      </c>
      <c r="O96" s="37">
        <f>+M96+N96</f>
        <v>730406.93612057925</v>
      </c>
      <c r="P96" s="48">
        <v>1.2</v>
      </c>
      <c r="Q96" s="49"/>
    </row>
    <row r="97" spans="1:17" s="9" customFormat="1" x14ac:dyDescent="0.2">
      <c r="A97" s="61"/>
      <c r="B97" s="61"/>
      <c r="C97" s="54"/>
      <c r="D97" s="46"/>
      <c r="E97" s="62"/>
      <c r="F97" s="37"/>
      <c r="G97" s="37"/>
      <c r="H97" s="37"/>
      <c r="I97" s="37"/>
      <c r="J97" s="37"/>
      <c r="K97" s="37"/>
      <c r="L97" s="37"/>
      <c r="M97" s="37"/>
      <c r="N97" s="32"/>
      <c r="O97" s="37"/>
      <c r="P97" s="48"/>
      <c r="Q97" s="49"/>
    </row>
    <row r="98" spans="1:17" s="18" customFormat="1" x14ac:dyDescent="0.2">
      <c r="A98" s="35"/>
      <c r="B98" s="4" t="s">
        <v>14</v>
      </c>
      <c r="C98" s="26"/>
      <c r="D98" s="16">
        <f t="shared" ref="D98:K98" si="20">SUM(D96:D97)</f>
        <v>30000</v>
      </c>
      <c r="E98" s="14">
        <f t="shared" si="20"/>
        <v>400000</v>
      </c>
      <c r="F98" s="14">
        <f t="shared" si="20"/>
        <v>3000</v>
      </c>
      <c r="G98" s="14">
        <f t="shared" si="20"/>
        <v>7045.55</v>
      </c>
      <c r="H98" s="14">
        <f t="shared" si="20"/>
        <v>120000</v>
      </c>
      <c r="I98" s="14">
        <f t="shared" si="20"/>
        <v>134584.98000000001</v>
      </c>
      <c r="J98" s="32">
        <f t="shared" si="20"/>
        <v>0</v>
      </c>
      <c r="K98" s="14">
        <f t="shared" si="20"/>
        <v>39000</v>
      </c>
      <c r="L98" s="14">
        <f>+L96</f>
        <v>0</v>
      </c>
      <c r="M98" s="14">
        <f>SUM(M96:M97)</f>
        <v>703630.53</v>
      </c>
      <c r="N98" s="14">
        <f>M98/CALC!$A$8*CALC!$A$6</f>
        <v>26776.406120579228</v>
      </c>
      <c r="O98" s="14">
        <f>+M98+N98</f>
        <v>730406.93612057925</v>
      </c>
      <c r="P98" s="33"/>
      <c r="Q98" s="135">
        <f>(+O98/D98)*(1+CALC!$A$3)</f>
        <v>24.346897870685975</v>
      </c>
    </row>
    <row r="99" spans="1:17" x14ac:dyDescent="0.2">
      <c r="Q99" s="21"/>
    </row>
    <row r="100" spans="1:17" s="18" customFormat="1" x14ac:dyDescent="0.2">
      <c r="A100" s="42" t="s">
        <v>64</v>
      </c>
      <c r="B100" s="66" t="s">
        <v>14</v>
      </c>
      <c r="C100" s="67"/>
      <c r="D100" s="68">
        <f t="shared" ref="D100:O100" si="21">+D74+D85+D92+D98</f>
        <v>643600</v>
      </c>
      <c r="E100" s="70">
        <f t="shared" si="21"/>
        <v>2969050.9075796008</v>
      </c>
      <c r="F100" s="70">
        <f t="shared" si="21"/>
        <v>51000</v>
      </c>
      <c r="G100" s="70">
        <f t="shared" si="21"/>
        <v>192584.535</v>
      </c>
      <c r="H100" s="70">
        <f t="shared" si="21"/>
        <v>960000</v>
      </c>
      <c r="I100" s="70">
        <f t="shared" si="21"/>
        <v>527289.57999999996</v>
      </c>
      <c r="J100" s="70">
        <f t="shared" si="21"/>
        <v>0</v>
      </c>
      <c r="K100" s="70">
        <f t="shared" si="21"/>
        <v>165120</v>
      </c>
      <c r="L100" s="70">
        <f t="shared" si="21"/>
        <v>0</v>
      </c>
      <c r="M100" s="70">
        <f t="shared" si="21"/>
        <v>4865045.022579601</v>
      </c>
      <c r="N100" s="70">
        <f t="shared" si="21"/>
        <v>185137.53421059478</v>
      </c>
      <c r="O100" s="70">
        <f t="shared" si="21"/>
        <v>5050182.5567901954</v>
      </c>
      <c r="P100" s="69"/>
      <c r="Q100" s="51"/>
    </row>
    <row r="101" spans="1:17" x14ac:dyDescent="0.2">
      <c r="P101" s="7"/>
      <c r="Q101" s="49"/>
    </row>
    <row r="102" spans="1:17" s="18" customFormat="1" x14ac:dyDescent="0.2">
      <c r="A102" s="18" t="s">
        <v>40</v>
      </c>
      <c r="B102" s="78" t="s">
        <v>14</v>
      </c>
      <c r="C102" s="79"/>
      <c r="D102" s="80">
        <f t="shared" ref="D102:O102" si="22">+D51+D61+D100</f>
        <v>740400</v>
      </c>
      <c r="E102" s="81">
        <f t="shared" si="22"/>
        <v>3517446.4999931841</v>
      </c>
      <c r="F102" s="81">
        <f t="shared" si="22"/>
        <v>87000</v>
      </c>
      <c r="G102" s="81">
        <f t="shared" si="22"/>
        <v>231056.18875</v>
      </c>
      <c r="H102" s="81">
        <f t="shared" si="22"/>
        <v>1269190.8500000001</v>
      </c>
      <c r="I102" s="81">
        <f t="shared" si="22"/>
        <v>673774.53999999992</v>
      </c>
      <c r="J102" s="81">
        <f t="shared" si="22"/>
        <v>0</v>
      </c>
      <c r="K102" s="81">
        <f t="shared" si="22"/>
        <v>194260</v>
      </c>
      <c r="L102" s="81">
        <f t="shared" si="22"/>
        <v>0</v>
      </c>
      <c r="M102" s="81">
        <f t="shared" si="22"/>
        <v>5972728.078743184</v>
      </c>
      <c r="N102" s="81">
        <f t="shared" si="22"/>
        <v>223212.15580762719</v>
      </c>
      <c r="O102" s="81">
        <f t="shared" si="22"/>
        <v>6195940.2345508114</v>
      </c>
      <c r="P102" s="24"/>
      <c r="Q102" s="51"/>
    </row>
    <row r="103" spans="1:17" x14ac:dyDescent="0.2">
      <c r="P103" s="7"/>
      <c r="Q103" s="49"/>
    </row>
    <row r="104" spans="1:17" x14ac:dyDescent="0.2">
      <c r="Q104" s="21"/>
    </row>
    <row r="105" spans="1:17" x14ac:dyDescent="0.2">
      <c r="D105" s="17">
        <f>+D9+D16+D23+D29+D40+D49+D59+D74+D85+D92+D98</f>
        <v>740400</v>
      </c>
      <c r="E105" s="17">
        <f t="shared" ref="E105:O105" si="23">+E9+E16+E23+E29+E40+E49+E59+E74+E85+E92+E98</f>
        <v>3517446.4999931841</v>
      </c>
      <c r="F105" s="17">
        <f t="shared" si="23"/>
        <v>87000</v>
      </c>
      <c r="G105" s="17">
        <f t="shared" si="23"/>
        <v>231056.18875</v>
      </c>
      <c r="H105" s="17">
        <f t="shared" si="23"/>
        <v>1269190.8500000001</v>
      </c>
      <c r="I105" s="17">
        <f t="shared" si="23"/>
        <v>673774.54</v>
      </c>
      <c r="J105" s="17">
        <f t="shared" si="23"/>
        <v>0</v>
      </c>
      <c r="K105" s="17">
        <f t="shared" si="23"/>
        <v>194260</v>
      </c>
      <c r="L105" s="17">
        <f t="shared" si="23"/>
        <v>0</v>
      </c>
      <c r="M105" s="17">
        <f t="shared" si="23"/>
        <v>5972728.078743184</v>
      </c>
      <c r="N105" s="17">
        <f t="shared" si="23"/>
        <v>223212.15580762713</v>
      </c>
      <c r="O105" s="17">
        <f t="shared" si="23"/>
        <v>6195940.2345508114</v>
      </c>
      <c r="P105" s="17"/>
      <c r="Q105" s="17"/>
    </row>
    <row r="106" spans="1:17" x14ac:dyDescent="0.2">
      <c r="I106" s="64">
        <f>-I74</f>
        <v>-182900.71</v>
      </c>
      <c r="Q106" s="21"/>
    </row>
    <row r="107" spans="1:17" x14ac:dyDescent="0.2">
      <c r="Q107" s="21"/>
    </row>
    <row r="108" spans="1:17" x14ac:dyDescent="0.2">
      <c r="Q108" s="21"/>
    </row>
    <row r="109" spans="1:17" x14ac:dyDescent="0.2">
      <c r="Q109" s="21"/>
    </row>
    <row r="110" spans="1:17" x14ac:dyDescent="0.2">
      <c r="Q110" s="21"/>
    </row>
    <row r="111" spans="1:17" x14ac:dyDescent="0.2">
      <c r="Q111" s="21"/>
    </row>
    <row r="112" spans="1:17" x14ac:dyDescent="0.2">
      <c r="Q112" s="21"/>
    </row>
    <row r="113" spans="17:17" x14ac:dyDescent="0.2">
      <c r="Q113" s="21"/>
    </row>
    <row r="114" spans="17:17" x14ac:dyDescent="0.2">
      <c r="Q114" s="21"/>
    </row>
    <row r="115" spans="17:17" x14ac:dyDescent="0.2">
      <c r="Q115" s="21"/>
    </row>
    <row r="116" spans="17:17" x14ac:dyDescent="0.2">
      <c r="Q116" s="21"/>
    </row>
    <row r="117" spans="17:17" x14ac:dyDescent="0.2">
      <c r="Q117" s="21"/>
    </row>
    <row r="118" spans="17:17" x14ac:dyDescent="0.2">
      <c r="Q118" s="21"/>
    </row>
    <row r="119" spans="17:17" x14ac:dyDescent="0.2">
      <c r="Q119" s="21"/>
    </row>
    <row r="120" spans="17:17" x14ac:dyDescent="0.2">
      <c r="Q120" s="21"/>
    </row>
    <row r="121" spans="17:17" x14ac:dyDescent="0.2">
      <c r="Q121" s="21"/>
    </row>
    <row r="122" spans="17:17" x14ac:dyDescent="0.2">
      <c r="Q122" s="21"/>
    </row>
    <row r="123" spans="17:17" x14ac:dyDescent="0.2">
      <c r="Q123" s="21"/>
    </row>
    <row r="124" spans="17:17" x14ac:dyDescent="0.2">
      <c r="Q124" s="21"/>
    </row>
    <row r="125" spans="17:17" x14ac:dyDescent="0.2">
      <c r="Q125" s="21"/>
    </row>
    <row r="126" spans="17:17" x14ac:dyDescent="0.2">
      <c r="Q126" s="21"/>
    </row>
    <row r="127" spans="17:17" x14ac:dyDescent="0.2">
      <c r="Q127" s="21"/>
    </row>
    <row r="128" spans="17:17" x14ac:dyDescent="0.2">
      <c r="Q128" s="21"/>
    </row>
    <row r="129" spans="17:17" x14ac:dyDescent="0.2">
      <c r="Q129" s="21"/>
    </row>
    <row r="130" spans="17:17" x14ac:dyDescent="0.2">
      <c r="Q130" s="21"/>
    </row>
    <row r="131" spans="17:17" x14ac:dyDescent="0.2">
      <c r="Q131" s="21"/>
    </row>
    <row r="132" spans="17:17" x14ac:dyDescent="0.2">
      <c r="Q132" s="21"/>
    </row>
    <row r="133" spans="17:17" x14ac:dyDescent="0.2">
      <c r="Q133" s="21"/>
    </row>
    <row r="134" spans="17:17" x14ac:dyDescent="0.2">
      <c r="Q134" s="21"/>
    </row>
    <row r="135" spans="17:17" x14ac:dyDescent="0.2">
      <c r="Q135" s="21"/>
    </row>
    <row r="136" spans="17:17" x14ac:dyDescent="0.2">
      <c r="Q136" s="21"/>
    </row>
    <row r="137" spans="17:17" x14ac:dyDescent="0.2">
      <c r="Q137" s="21"/>
    </row>
    <row r="138" spans="17:17" x14ac:dyDescent="0.2">
      <c r="Q138" s="21"/>
    </row>
    <row r="139" spans="17:17" x14ac:dyDescent="0.2">
      <c r="Q139" s="21"/>
    </row>
    <row r="140" spans="17:17" x14ac:dyDescent="0.2">
      <c r="Q140" s="21"/>
    </row>
    <row r="141" spans="17:17" x14ac:dyDescent="0.2">
      <c r="Q141" s="21"/>
    </row>
    <row r="142" spans="17:17" x14ac:dyDescent="0.2">
      <c r="Q142" s="21"/>
    </row>
    <row r="143" spans="17:17" x14ac:dyDescent="0.2">
      <c r="Q143" s="21"/>
    </row>
    <row r="144" spans="17:17" x14ac:dyDescent="0.2">
      <c r="Q144" s="21"/>
    </row>
    <row r="145" spans="17:17" x14ac:dyDescent="0.2">
      <c r="Q145" s="21"/>
    </row>
    <row r="146" spans="17:17" x14ac:dyDescent="0.2">
      <c r="Q146" s="21"/>
    </row>
    <row r="147" spans="17:17" x14ac:dyDescent="0.2">
      <c r="Q147" s="21"/>
    </row>
    <row r="148" spans="17:17" x14ac:dyDescent="0.2">
      <c r="Q148" s="21"/>
    </row>
    <row r="149" spans="17:17" x14ac:dyDescent="0.2">
      <c r="Q149" s="21"/>
    </row>
    <row r="150" spans="17:17" x14ac:dyDescent="0.2">
      <c r="Q150" s="21"/>
    </row>
    <row r="151" spans="17:17" x14ac:dyDescent="0.2">
      <c r="Q151" s="21"/>
    </row>
    <row r="152" spans="17:17" x14ac:dyDescent="0.2">
      <c r="Q152" s="21"/>
    </row>
    <row r="153" spans="17:17" x14ac:dyDescent="0.2">
      <c r="Q153" s="21"/>
    </row>
    <row r="154" spans="17:17" x14ac:dyDescent="0.2">
      <c r="Q154" s="21"/>
    </row>
    <row r="155" spans="17:17" x14ac:dyDescent="0.2">
      <c r="Q155" s="21"/>
    </row>
    <row r="156" spans="17:17" x14ac:dyDescent="0.2">
      <c r="Q156" s="21"/>
    </row>
    <row r="157" spans="17:17" x14ac:dyDescent="0.2">
      <c r="Q157" s="21"/>
    </row>
    <row r="158" spans="17:17" x14ac:dyDescent="0.2">
      <c r="Q158" s="21"/>
    </row>
    <row r="159" spans="17:17" x14ac:dyDescent="0.2">
      <c r="Q159" s="21"/>
    </row>
    <row r="160" spans="17:17" x14ac:dyDescent="0.2">
      <c r="Q160" s="21"/>
    </row>
    <row r="161" spans="17:17" x14ac:dyDescent="0.2">
      <c r="Q161" s="21"/>
    </row>
    <row r="162" spans="17:17" x14ac:dyDescent="0.2">
      <c r="Q162" s="21"/>
    </row>
    <row r="163" spans="17:17" x14ac:dyDescent="0.2">
      <c r="Q163" s="21"/>
    </row>
    <row r="164" spans="17:17" x14ac:dyDescent="0.2">
      <c r="Q164" s="21"/>
    </row>
    <row r="165" spans="17:17" x14ac:dyDescent="0.2">
      <c r="Q165" s="21"/>
    </row>
    <row r="166" spans="17:17" x14ac:dyDescent="0.2">
      <c r="Q166" s="21"/>
    </row>
    <row r="167" spans="17:17" x14ac:dyDescent="0.2">
      <c r="Q167" s="21"/>
    </row>
    <row r="168" spans="17:17" x14ac:dyDescent="0.2">
      <c r="Q168" s="21"/>
    </row>
    <row r="169" spans="17:17" x14ac:dyDescent="0.2">
      <c r="Q169" s="21"/>
    </row>
    <row r="170" spans="17:17" x14ac:dyDescent="0.2">
      <c r="Q170" s="21"/>
    </row>
    <row r="171" spans="17:17" x14ac:dyDescent="0.2">
      <c r="Q171" s="21"/>
    </row>
    <row r="172" spans="17:17" x14ac:dyDescent="0.2">
      <c r="Q172" s="21"/>
    </row>
    <row r="173" spans="17:17" x14ac:dyDescent="0.2">
      <c r="Q173" s="21"/>
    </row>
    <row r="174" spans="17:17" x14ac:dyDescent="0.2">
      <c r="Q174" s="21"/>
    </row>
    <row r="175" spans="17:17" x14ac:dyDescent="0.2">
      <c r="Q175" s="21"/>
    </row>
    <row r="176" spans="17:17" x14ac:dyDescent="0.2">
      <c r="Q176" s="21"/>
    </row>
    <row r="177" spans="17:17" x14ac:dyDescent="0.2">
      <c r="Q177" s="21"/>
    </row>
    <row r="178" spans="17:17" x14ac:dyDescent="0.2">
      <c r="Q178" s="21"/>
    </row>
    <row r="179" spans="17:17" x14ac:dyDescent="0.2">
      <c r="Q179" s="21"/>
    </row>
    <row r="180" spans="17:17" x14ac:dyDescent="0.2">
      <c r="Q180" s="21"/>
    </row>
    <row r="181" spans="17:17" x14ac:dyDescent="0.2">
      <c r="Q181" s="21"/>
    </row>
    <row r="182" spans="17:17" x14ac:dyDescent="0.2">
      <c r="Q182" s="21"/>
    </row>
    <row r="183" spans="17:17" x14ac:dyDescent="0.2">
      <c r="Q183" s="21"/>
    </row>
    <row r="184" spans="17:17" x14ac:dyDescent="0.2">
      <c r="Q184" s="21"/>
    </row>
    <row r="185" spans="17:17" x14ac:dyDescent="0.2">
      <c r="Q185" s="21"/>
    </row>
    <row r="186" spans="17:17" x14ac:dyDescent="0.2">
      <c r="Q186" s="21"/>
    </row>
    <row r="187" spans="17:17" x14ac:dyDescent="0.2">
      <c r="Q187" s="21"/>
    </row>
    <row r="188" spans="17:17" x14ac:dyDescent="0.2">
      <c r="Q188" s="21"/>
    </row>
    <row r="189" spans="17:17" x14ac:dyDescent="0.2">
      <c r="Q189" s="21"/>
    </row>
    <row r="190" spans="17:17" x14ac:dyDescent="0.2">
      <c r="Q190" s="21"/>
    </row>
    <row r="191" spans="17:17" x14ac:dyDescent="0.2">
      <c r="Q191" s="21"/>
    </row>
    <row r="192" spans="17:17" x14ac:dyDescent="0.2">
      <c r="Q192" s="21"/>
    </row>
    <row r="193" spans="17:17" x14ac:dyDescent="0.2">
      <c r="Q193" s="21"/>
    </row>
    <row r="194" spans="17:17" x14ac:dyDescent="0.2">
      <c r="Q194" s="21"/>
    </row>
    <row r="195" spans="17:17" x14ac:dyDescent="0.2">
      <c r="Q195" s="21"/>
    </row>
    <row r="196" spans="17:17" x14ac:dyDescent="0.2">
      <c r="Q196" s="21"/>
    </row>
    <row r="197" spans="17:17" x14ac:dyDescent="0.2">
      <c r="Q197" s="21"/>
    </row>
    <row r="198" spans="17:17" x14ac:dyDescent="0.2">
      <c r="Q198" s="21"/>
    </row>
    <row r="199" spans="17:17" x14ac:dyDescent="0.2">
      <c r="Q199" s="21"/>
    </row>
    <row r="200" spans="17:17" x14ac:dyDescent="0.2">
      <c r="Q200" s="21"/>
    </row>
    <row r="201" spans="17:17" x14ac:dyDescent="0.2">
      <c r="Q201" s="21"/>
    </row>
    <row r="202" spans="17:17" x14ac:dyDescent="0.2">
      <c r="Q202" s="21"/>
    </row>
    <row r="203" spans="17:17" x14ac:dyDescent="0.2">
      <c r="Q203" s="21"/>
    </row>
    <row r="204" spans="17:17" x14ac:dyDescent="0.2">
      <c r="Q204" s="21"/>
    </row>
    <row r="205" spans="17:17" x14ac:dyDescent="0.2">
      <c r="Q205" s="21"/>
    </row>
    <row r="206" spans="17:17" x14ac:dyDescent="0.2">
      <c r="Q206" s="21"/>
    </row>
    <row r="207" spans="17:17" x14ac:dyDescent="0.2">
      <c r="Q207" s="21"/>
    </row>
    <row r="208" spans="17:17" x14ac:dyDescent="0.2">
      <c r="Q208" s="21"/>
    </row>
    <row r="209" spans="17:17" x14ac:dyDescent="0.2">
      <c r="Q209" s="21"/>
    </row>
    <row r="210" spans="17:17" x14ac:dyDescent="0.2">
      <c r="Q210" s="21"/>
    </row>
    <row r="211" spans="17:17" x14ac:dyDescent="0.2">
      <c r="Q211" s="21"/>
    </row>
    <row r="212" spans="17:17" x14ac:dyDescent="0.2">
      <c r="Q212" s="21"/>
    </row>
    <row r="213" spans="17:17" x14ac:dyDescent="0.2">
      <c r="Q213" s="21"/>
    </row>
    <row r="214" spans="17:17" x14ac:dyDescent="0.2">
      <c r="Q214" s="21"/>
    </row>
    <row r="215" spans="17:17" x14ac:dyDescent="0.2">
      <c r="Q215" s="21"/>
    </row>
    <row r="216" spans="17:17" x14ac:dyDescent="0.2">
      <c r="Q216" s="21"/>
    </row>
    <row r="217" spans="17:17" x14ac:dyDescent="0.2">
      <c r="Q217" s="21"/>
    </row>
    <row r="218" spans="17:17" x14ac:dyDescent="0.2">
      <c r="Q218" s="21"/>
    </row>
    <row r="219" spans="17:17" x14ac:dyDescent="0.2">
      <c r="Q219" s="21"/>
    </row>
    <row r="220" spans="17:17" x14ac:dyDescent="0.2">
      <c r="Q220" s="21"/>
    </row>
    <row r="221" spans="17:17" x14ac:dyDescent="0.2">
      <c r="Q221" s="21"/>
    </row>
    <row r="222" spans="17:17" x14ac:dyDescent="0.2">
      <c r="Q222" s="21"/>
    </row>
    <row r="223" spans="17:17" x14ac:dyDescent="0.2">
      <c r="Q223" s="21"/>
    </row>
    <row r="224" spans="17:17" x14ac:dyDescent="0.2">
      <c r="Q224" s="21"/>
    </row>
    <row r="225" spans="17:17" x14ac:dyDescent="0.2">
      <c r="Q225" s="21"/>
    </row>
    <row r="226" spans="17:17" x14ac:dyDescent="0.2">
      <c r="Q226" s="21"/>
    </row>
    <row r="227" spans="17:17" x14ac:dyDescent="0.2">
      <c r="Q227" s="21"/>
    </row>
    <row r="228" spans="17:17" x14ac:dyDescent="0.2">
      <c r="Q228" s="21"/>
    </row>
    <row r="229" spans="17:17" x14ac:dyDescent="0.2">
      <c r="Q229" s="21"/>
    </row>
    <row r="230" spans="17:17" x14ac:dyDescent="0.2">
      <c r="Q230" s="21"/>
    </row>
    <row r="231" spans="17:17" x14ac:dyDescent="0.2">
      <c r="Q231" s="21"/>
    </row>
    <row r="232" spans="17:17" x14ac:dyDescent="0.2">
      <c r="Q232" s="21"/>
    </row>
    <row r="233" spans="17:17" x14ac:dyDescent="0.2">
      <c r="Q233" s="21"/>
    </row>
    <row r="234" spans="17:17" x14ac:dyDescent="0.2">
      <c r="Q234" s="21"/>
    </row>
    <row r="235" spans="17:17" x14ac:dyDescent="0.2">
      <c r="Q235" s="21"/>
    </row>
    <row r="236" spans="17:17" x14ac:dyDescent="0.2">
      <c r="Q236" s="21"/>
    </row>
    <row r="237" spans="17:17" x14ac:dyDescent="0.2">
      <c r="Q237" s="21"/>
    </row>
    <row r="238" spans="17:17" x14ac:dyDescent="0.2">
      <c r="Q238" s="21"/>
    </row>
    <row r="239" spans="17:17" x14ac:dyDescent="0.2">
      <c r="Q239" s="21"/>
    </row>
    <row r="240" spans="17:17" x14ac:dyDescent="0.2">
      <c r="Q240" s="21"/>
    </row>
    <row r="241" spans="17:17" x14ac:dyDescent="0.2">
      <c r="Q241" s="21"/>
    </row>
    <row r="242" spans="17:17" x14ac:dyDescent="0.2">
      <c r="Q242" s="21"/>
    </row>
    <row r="243" spans="17:17" x14ac:dyDescent="0.2">
      <c r="Q243" s="21"/>
    </row>
    <row r="244" spans="17:17" x14ac:dyDescent="0.2">
      <c r="Q244" s="21"/>
    </row>
    <row r="245" spans="17:17" x14ac:dyDescent="0.2">
      <c r="Q245" s="21"/>
    </row>
    <row r="246" spans="17:17" x14ac:dyDescent="0.2">
      <c r="Q246" s="21"/>
    </row>
    <row r="247" spans="17:17" x14ac:dyDescent="0.2">
      <c r="Q247" s="21"/>
    </row>
    <row r="248" spans="17:17" x14ac:dyDescent="0.2">
      <c r="Q248" s="21"/>
    </row>
    <row r="249" spans="17:17" x14ac:dyDescent="0.2">
      <c r="Q249" s="21"/>
    </row>
    <row r="250" spans="17:17" x14ac:dyDescent="0.2">
      <c r="Q250" s="21"/>
    </row>
    <row r="251" spans="17:17" x14ac:dyDescent="0.2">
      <c r="Q251" s="21"/>
    </row>
    <row r="252" spans="17:17" x14ac:dyDescent="0.2">
      <c r="Q252" s="21"/>
    </row>
    <row r="253" spans="17:17" x14ac:dyDescent="0.2">
      <c r="Q253" s="21"/>
    </row>
    <row r="254" spans="17:17" x14ac:dyDescent="0.2">
      <c r="Q254" s="21"/>
    </row>
    <row r="255" spans="17:17" x14ac:dyDescent="0.2">
      <c r="Q255" s="21"/>
    </row>
    <row r="256" spans="17:17" x14ac:dyDescent="0.2">
      <c r="Q256" s="21"/>
    </row>
    <row r="257" spans="17:17" x14ac:dyDescent="0.2">
      <c r="Q257" s="21"/>
    </row>
    <row r="258" spans="17:17" x14ac:dyDescent="0.2">
      <c r="Q258" s="21"/>
    </row>
    <row r="259" spans="17:17" x14ac:dyDescent="0.2">
      <c r="Q259" s="21"/>
    </row>
    <row r="260" spans="17:17" x14ac:dyDescent="0.2">
      <c r="Q260" s="21"/>
    </row>
    <row r="261" spans="17:17" x14ac:dyDescent="0.2">
      <c r="Q261" s="21"/>
    </row>
    <row r="262" spans="17:17" x14ac:dyDescent="0.2">
      <c r="Q262" s="21"/>
    </row>
    <row r="263" spans="17:17" x14ac:dyDescent="0.2">
      <c r="Q263" s="21"/>
    </row>
    <row r="264" spans="17:17" x14ac:dyDescent="0.2">
      <c r="Q264" s="21"/>
    </row>
    <row r="265" spans="17:17" x14ac:dyDescent="0.2">
      <c r="Q265" s="21"/>
    </row>
    <row r="266" spans="17:17" x14ac:dyDescent="0.2">
      <c r="Q266" s="21"/>
    </row>
    <row r="267" spans="17:17" x14ac:dyDescent="0.2">
      <c r="Q267" s="21"/>
    </row>
    <row r="268" spans="17:17" x14ac:dyDescent="0.2">
      <c r="Q268" s="21"/>
    </row>
    <row r="269" spans="17:17" x14ac:dyDescent="0.2">
      <c r="Q269" s="21"/>
    </row>
    <row r="270" spans="17:17" x14ac:dyDescent="0.2">
      <c r="Q270" s="21"/>
    </row>
    <row r="271" spans="17:17" x14ac:dyDescent="0.2">
      <c r="Q271" s="21"/>
    </row>
    <row r="272" spans="17:17" x14ac:dyDescent="0.2">
      <c r="Q272" s="21"/>
    </row>
    <row r="273" spans="17:17" x14ac:dyDescent="0.2">
      <c r="Q273" s="21"/>
    </row>
    <row r="274" spans="17:17" x14ac:dyDescent="0.2">
      <c r="Q274" s="21"/>
    </row>
    <row r="275" spans="17:17" x14ac:dyDescent="0.2">
      <c r="Q275" s="21"/>
    </row>
    <row r="276" spans="17:17" x14ac:dyDescent="0.2">
      <c r="Q276" s="21"/>
    </row>
    <row r="277" spans="17:17" x14ac:dyDescent="0.2">
      <c r="Q277" s="21"/>
    </row>
    <row r="278" spans="17:17" x14ac:dyDescent="0.2">
      <c r="Q278" s="21"/>
    </row>
    <row r="279" spans="17:17" x14ac:dyDescent="0.2">
      <c r="Q279" s="21"/>
    </row>
    <row r="280" spans="17:17" x14ac:dyDescent="0.2">
      <c r="Q280" s="21"/>
    </row>
    <row r="281" spans="17:17" x14ac:dyDescent="0.2">
      <c r="Q281" s="21"/>
    </row>
    <row r="282" spans="17:17" x14ac:dyDescent="0.2">
      <c r="Q282" s="21"/>
    </row>
    <row r="283" spans="17:17" x14ac:dyDescent="0.2">
      <c r="Q283" s="21"/>
    </row>
    <row r="284" spans="17:17" x14ac:dyDescent="0.2">
      <c r="Q284" s="21"/>
    </row>
    <row r="285" spans="17:17" x14ac:dyDescent="0.2">
      <c r="Q285" s="21"/>
    </row>
    <row r="286" spans="17:17" x14ac:dyDescent="0.2">
      <c r="Q286" s="21"/>
    </row>
    <row r="287" spans="17:17" x14ac:dyDescent="0.2">
      <c r="Q287" s="21"/>
    </row>
    <row r="288" spans="17:17" x14ac:dyDescent="0.2">
      <c r="Q288" s="21"/>
    </row>
    <row r="289" spans="17:17" x14ac:dyDescent="0.2">
      <c r="Q289" s="21"/>
    </row>
    <row r="290" spans="17:17" x14ac:dyDescent="0.2">
      <c r="Q290" s="21"/>
    </row>
    <row r="291" spans="17:17" x14ac:dyDescent="0.2">
      <c r="Q291" s="21"/>
    </row>
    <row r="292" spans="17:17" x14ac:dyDescent="0.2">
      <c r="Q292" s="21"/>
    </row>
    <row r="293" spans="17:17" x14ac:dyDescent="0.2">
      <c r="Q293" s="21"/>
    </row>
    <row r="294" spans="17:17" x14ac:dyDescent="0.2">
      <c r="Q294" s="21"/>
    </row>
    <row r="295" spans="17:17" x14ac:dyDescent="0.2">
      <c r="Q295" s="21"/>
    </row>
    <row r="296" spans="17:17" x14ac:dyDescent="0.2">
      <c r="Q296" s="21"/>
    </row>
    <row r="297" spans="17:17" x14ac:dyDescent="0.2">
      <c r="Q297" s="21"/>
    </row>
    <row r="298" spans="17:17" x14ac:dyDescent="0.2">
      <c r="Q298" s="21"/>
    </row>
    <row r="299" spans="17:17" x14ac:dyDescent="0.2">
      <c r="Q299" s="21"/>
    </row>
    <row r="300" spans="17:17" x14ac:dyDescent="0.2">
      <c r="Q300" s="21"/>
    </row>
    <row r="301" spans="17:17" x14ac:dyDescent="0.2">
      <c r="Q301" s="21"/>
    </row>
    <row r="302" spans="17:17" x14ac:dyDescent="0.2">
      <c r="Q302" s="21"/>
    </row>
    <row r="303" spans="17:17" x14ac:dyDescent="0.2">
      <c r="Q303" s="21"/>
    </row>
    <row r="304" spans="17:17" x14ac:dyDescent="0.2">
      <c r="Q304" s="21"/>
    </row>
    <row r="305" spans="17:17" x14ac:dyDescent="0.2">
      <c r="Q305" s="21"/>
    </row>
    <row r="306" spans="17:17" x14ac:dyDescent="0.2">
      <c r="Q306" s="21"/>
    </row>
    <row r="307" spans="17:17" x14ac:dyDescent="0.2">
      <c r="Q307" s="21"/>
    </row>
    <row r="308" spans="17:17" x14ac:dyDescent="0.2">
      <c r="Q308" s="21"/>
    </row>
    <row r="309" spans="17:17" x14ac:dyDescent="0.2">
      <c r="Q309" s="21"/>
    </row>
    <row r="310" spans="17:17" x14ac:dyDescent="0.2">
      <c r="Q310" s="21"/>
    </row>
    <row r="311" spans="17:17" x14ac:dyDescent="0.2">
      <c r="Q311" s="21"/>
    </row>
    <row r="312" spans="17:17" x14ac:dyDescent="0.2">
      <c r="Q312" s="21"/>
    </row>
    <row r="313" spans="17:17" x14ac:dyDescent="0.2">
      <c r="Q313" s="21"/>
    </row>
    <row r="314" spans="17:17" x14ac:dyDescent="0.2">
      <c r="Q314" s="21"/>
    </row>
    <row r="315" spans="17:17" x14ac:dyDescent="0.2">
      <c r="Q315" s="21"/>
    </row>
    <row r="316" spans="17:17" x14ac:dyDescent="0.2">
      <c r="Q316" s="21"/>
    </row>
    <row r="317" spans="17:17" x14ac:dyDescent="0.2">
      <c r="Q317" s="21"/>
    </row>
    <row r="318" spans="17:17" x14ac:dyDescent="0.2">
      <c r="Q318" s="21"/>
    </row>
    <row r="319" spans="17:17" x14ac:dyDescent="0.2">
      <c r="Q319" s="21"/>
    </row>
    <row r="320" spans="17:17" x14ac:dyDescent="0.2">
      <c r="Q320" s="21"/>
    </row>
    <row r="321" spans="17:17" x14ac:dyDescent="0.2">
      <c r="Q321" s="21"/>
    </row>
    <row r="322" spans="17:17" x14ac:dyDescent="0.2">
      <c r="Q322" s="21"/>
    </row>
    <row r="323" spans="17:17" x14ac:dyDescent="0.2">
      <c r="Q323" s="21"/>
    </row>
    <row r="324" spans="17:17" x14ac:dyDescent="0.2">
      <c r="Q324" s="21"/>
    </row>
    <row r="325" spans="17:17" x14ac:dyDescent="0.2">
      <c r="Q325" s="21"/>
    </row>
    <row r="326" spans="17:17" x14ac:dyDescent="0.2">
      <c r="Q326" s="21"/>
    </row>
    <row r="327" spans="17:17" x14ac:dyDescent="0.2">
      <c r="Q327" s="21"/>
    </row>
    <row r="328" spans="17:17" x14ac:dyDescent="0.2">
      <c r="Q328" s="21"/>
    </row>
    <row r="329" spans="17:17" x14ac:dyDescent="0.2">
      <c r="Q329" s="21"/>
    </row>
    <row r="330" spans="17:17" x14ac:dyDescent="0.2">
      <c r="Q330" s="21"/>
    </row>
    <row r="331" spans="17:17" x14ac:dyDescent="0.2">
      <c r="Q331" s="21"/>
    </row>
    <row r="332" spans="17:17" x14ac:dyDescent="0.2">
      <c r="Q332" s="21"/>
    </row>
    <row r="333" spans="17:17" x14ac:dyDescent="0.2">
      <c r="Q333" s="21"/>
    </row>
    <row r="334" spans="17:17" x14ac:dyDescent="0.2">
      <c r="Q334" s="21"/>
    </row>
    <row r="335" spans="17:17" x14ac:dyDescent="0.2">
      <c r="Q335" s="21"/>
    </row>
    <row r="336" spans="17:17" x14ac:dyDescent="0.2">
      <c r="Q336" s="21"/>
    </row>
    <row r="337" spans="17:17" x14ac:dyDescent="0.2">
      <c r="Q337" s="21"/>
    </row>
    <row r="338" spans="17:17" x14ac:dyDescent="0.2">
      <c r="Q338" s="21"/>
    </row>
    <row r="339" spans="17:17" x14ac:dyDescent="0.2">
      <c r="Q339" s="21"/>
    </row>
    <row r="340" spans="17:17" x14ac:dyDescent="0.2">
      <c r="Q340" s="21"/>
    </row>
    <row r="341" spans="17:17" x14ac:dyDescent="0.2">
      <c r="Q341" s="21"/>
    </row>
    <row r="342" spans="17:17" x14ac:dyDescent="0.2">
      <c r="Q342" s="21"/>
    </row>
    <row r="343" spans="17:17" x14ac:dyDescent="0.2">
      <c r="Q343" s="21"/>
    </row>
    <row r="344" spans="17:17" x14ac:dyDescent="0.2">
      <c r="Q344" s="21"/>
    </row>
    <row r="345" spans="17:17" x14ac:dyDescent="0.2">
      <c r="Q345" s="21"/>
    </row>
    <row r="346" spans="17:17" x14ac:dyDescent="0.2">
      <c r="Q346" s="21"/>
    </row>
    <row r="347" spans="17:17" x14ac:dyDescent="0.2">
      <c r="Q347" s="21"/>
    </row>
    <row r="348" spans="17:17" x14ac:dyDescent="0.2">
      <c r="Q348" s="21"/>
    </row>
    <row r="349" spans="17:17" x14ac:dyDescent="0.2">
      <c r="Q349" s="21"/>
    </row>
    <row r="350" spans="17:17" x14ac:dyDescent="0.2">
      <c r="Q350" s="21"/>
    </row>
    <row r="351" spans="17:17" x14ac:dyDescent="0.2">
      <c r="Q351" s="21"/>
    </row>
    <row r="352" spans="17:17" x14ac:dyDescent="0.2">
      <c r="Q352" s="21"/>
    </row>
    <row r="353" spans="17:17" x14ac:dyDescent="0.2">
      <c r="Q353" s="21"/>
    </row>
    <row r="354" spans="17:17" x14ac:dyDescent="0.2">
      <c r="Q354" s="21"/>
    </row>
    <row r="355" spans="17:17" x14ac:dyDescent="0.2">
      <c r="Q355" s="21"/>
    </row>
    <row r="356" spans="17:17" x14ac:dyDescent="0.2">
      <c r="Q356" s="21"/>
    </row>
    <row r="357" spans="17:17" x14ac:dyDescent="0.2">
      <c r="Q357" s="21"/>
    </row>
    <row r="358" spans="17:17" x14ac:dyDescent="0.2">
      <c r="Q358" s="21"/>
    </row>
    <row r="359" spans="17:17" x14ac:dyDescent="0.2">
      <c r="Q359" s="21"/>
    </row>
    <row r="360" spans="17:17" x14ac:dyDescent="0.2">
      <c r="Q360" s="21"/>
    </row>
    <row r="361" spans="17:17" x14ac:dyDescent="0.2">
      <c r="Q361" s="21"/>
    </row>
    <row r="362" spans="17:17" x14ac:dyDescent="0.2">
      <c r="Q362" s="21"/>
    </row>
    <row r="363" spans="17:17" x14ac:dyDescent="0.2">
      <c r="Q363" s="21"/>
    </row>
    <row r="364" spans="17:17" x14ac:dyDescent="0.2">
      <c r="Q364" s="21"/>
    </row>
    <row r="365" spans="17:17" x14ac:dyDescent="0.2">
      <c r="Q365" s="21"/>
    </row>
    <row r="366" spans="17:17" x14ac:dyDescent="0.2">
      <c r="Q366" s="21"/>
    </row>
    <row r="367" spans="17:17" x14ac:dyDescent="0.2">
      <c r="Q367" s="21"/>
    </row>
    <row r="368" spans="17:17" x14ac:dyDescent="0.2">
      <c r="Q368" s="21"/>
    </row>
    <row r="369" spans="17:17" x14ac:dyDescent="0.2">
      <c r="Q369" s="21"/>
    </row>
    <row r="370" spans="17:17" x14ac:dyDescent="0.2">
      <c r="Q370" s="21"/>
    </row>
    <row r="371" spans="17:17" x14ac:dyDescent="0.2">
      <c r="Q371" s="21"/>
    </row>
    <row r="372" spans="17:17" x14ac:dyDescent="0.2">
      <c r="Q372" s="21"/>
    </row>
    <row r="373" spans="17:17" x14ac:dyDescent="0.2">
      <c r="Q373" s="21"/>
    </row>
    <row r="374" spans="17:17" x14ac:dyDescent="0.2">
      <c r="Q374" s="21"/>
    </row>
    <row r="375" spans="17:17" x14ac:dyDescent="0.2">
      <c r="Q375" s="21"/>
    </row>
    <row r="376" spans="17:17" x14ac:dyDescent="0.2">
      <c r="Q376" s="21"/>
    </row>
    <row r="377" spans="17:17" x14ac:dyDescent="0.2">
      <c r="Q377" s="21"/>
    </row>
    <row r="378" spans="17:17" x14ac:dyDescent="0.2">
      <c r="Q378" s="21"/>
    </row>
    <row r="379" spans="17:17" x14ac:dyDescent="0.2">
      <c r="Q379" s="21"/>
    </row>
    <row r="380" spans="17:17" x14ac:dyDescent="0.2">
      <c r="Q380" s="21"/>
    </row>
    <row r="381" spans="17:17" x14ac:dyDescent="0.2">
      <c r="Q381" s="21"/>
    </row>
    <row r="382" spans="17:17" x14ac:dyDescent="0.2">
      <c r="Q382" s="21"/>
    </row>
    <row r="383" spans="17:17" x14ac:dyDescent="0.2">
      <c r="Q383" s="21"/>
    </row>
    <row r="384" spans="17:17" x14ac:dyDescent="0.2">
      <c r="Q384" s="21"/>
    </row>
    <row r="385" spans="17:17" x14ac:dyDescent="0.2">
      <c r="Q385" s="21"/>
    </row>
    <row r="386" spans="17:17" x14ac:dyDescent="0.2">
      <c r="Q386" s="21"/>
    </row>
    <row r="387" spans="17:17" x14ac:dyDescent="0.2">
      <c r="Q387" s="21"/>
    </row>
    <row r="388" spans="17:17" x14ac:dyDescent="0.2">
      <c r="Q388" s="21"/>
    </row>
    <row r="389" spans="17:17" x14ac:dyDescent="0.2">
      <c r="Q389" s="21"/>
    </row>
    <row r="390" spans="17:17" x14ac:dyDescent="0.2">
      <c r="Q390" s="21"/>
    </row>
    <row r="391" spans="17:17" x14ac:dyDescent="0.2">
      <c r="Q391" s="21"/>
    </row>
    <row r="392" spans="17:17" x14ac:dyDescent="0.2">
      <c r="Q392" s="21"/>
    </row>
    <row r="393" spans="17:17" x14ac:dyDescent="0.2">
      <c r="Q393" s="21"/>
    </row>
    <row r="394" spans="17:17" x14ac:dyDescent="0.2">
      <c r="Q394" s="21"/>
    </row>
    <row r="395" spans="17:17" x14ac:dyDescent="0.2">
      <c r="Q395" s="21"/>
    </row>
    <row r="396" spans="17:17" x14ac:dyDescent="0.2">
      <c r="Q396" s="21"/>
    </row>
    <row r="397" spans="17:17" x14ac:dyDescent="0.2">
      <c r="Q397" s="21"/>
    </row>
    <row r="398" spans="17:17" x14ac:dyDescent="0.2">
      <c r="Q398" s="21"/>
    </row>
    <row r="399" spans="17:17" x14ac:dyDescent="0.2">
      <c r="Q399" s="21"/>
    </row>
    <row r="400" spans="17:17" x14ac:dyDescent="0.2">
      <c r="Q400" s="21"/>
    </row>
    <row r="401" spans="17:17" x14ac:dyDescent="0.2">
      <c r="Q401" s="21"/>
    </row>
    <row r="402" spans="17:17" x14ac:dyDescent="0.2">
      <c r="Q402" s="21"/>
    </row>
    <row r="403" spans="17:17" x14ac:dyDescent="0.2">
      <c r="Q403" s="21"/>
    </row>
    <row r="404" spans="17:17" x14ac:dyDescent="0.2">
      <c r="Q404" s="21"/>
    </row>
    <row r="405" spans="17:17" x14ac:dyDescent="0.2">
      <c r="Q405" s="21"/>
    </row>
    <row r="406" spans="17:17" x14ac:dyDescent="0.2">
      <c r="Q406" s="21"/>
    </row>
    <row r="407" spans="17:17" x14ac:dyDescent="0.2">
      <c r="Q407" s="21"/>
    </row>
    <row r="408" spans="17:17" x14ac:dyDescent="0.2">
      <c r="Q408" s="21"/>
    </row>
    <row r="409" spans="17:17" x14ac:dyDescent="0.2">
      <c r="Q409" s="21"/>
    </row>
    <row r="410" spans="17:17" x14ac:dyDescent="0.2">
      <c r="Q410" s="21"/>
    </row>
    <row r="411" spans="17:17" x14ac:dyDescent="0.2">
      <c r="Q411" s="21"/>
    </row>
    <row r="412" spans="17:17" x14ac:dyDescent="0.2">
      <c r="Q412" s="21"/>
    </row>
    <row r="413" spans="17:17" x14ac:dyDescent="0.2">
      <c r="Q413" s="21"/>
    </row>
    <row r="414" spans="17:17" x14ac:dyDescent="0.2">
      <c r="Q414" s="21"/>
    </row>
    <row r="415" spans="17:17" x14ac:dyDescent="0.2">
      <c r="Q415" s="21"/>
    </row>
    <row r="416" spans="17:17" x14ac:dyDescent="0.2">
      <c r="Q416" s="21"/>
    </row>
    <row r="417" spans="17:17" x14ac:dyDescent="0.2">
      <c r="Q417" s="21"/>
    </row>
    <row r="418" spans="17:17" x14ac:dyDescent="0.2">
      <c r="Q418" s="21"/>
    </row>
    <row r="419" spans="17:17" x14ac:dyDescent="0.2">
      <c r="Q419" s="21"/>
    </row>
    <row r="420" spans="17:17" x14ac:dyDescent="0.2">
      <c r="Q420" s="21"/>
    </row>
    <row r="421" spans="17:17" x14ac:dyDescent="0.2">
      <c r="Q421" s="21"/>
    </row>
    <row r="422" spans="17:17" x14ac:dyDescent="0.2">
      <c r="Q422" s="21"/>
    </row>
    <row r="423" spans="17:17" x14ac:dyDescent="0.2">
      <c r="Q423" s="21"/>
    </row>
    <row r="424" spans="17:17" x14ac:dyDescent="0.2">
      <c r="Q424" s="21"/>
    </row>
    <row r="425" spans="17:17" x14ac:dyDescent="0.2">
      <c r="Q425" s="21"/>
    </row>
    <row r="426" spans="17:17" x14ac:dyDescent="0.2">
      <c r="Q426" s="21"/>
    </row>
    <row r="427" spans="17:17" x14ac:dyDescent="0.2">
      <c r="Q427" s="21"/>
    </row>
    <row r="428" spans="17:17" x14ac:dyDescent="0.2">
      <c r="Q428" s="21"/>
    </row>
    <row r="429" spans="17:17" x14ac:dyDescent="0.2">
      <c r="Q429" s="21"/>
    </row>
    <row r="430" spans="17:17" x14ac:dyDescent="0.2">
      <c r="Q430" s="21"/>
    </row>
    <row r="431" spans="17:17" x14ac:dyDescent="0.2">
      <c r="Q431" s="21"/>
    </row>
    <row r="432" spans="17:17" x14ac:dyDescent="0.2">
      <c r="Q432" s="21"/>
    </row>
    <row r="433" spans="17:17" x14ac:dyDescent="0.2">
      <c r="Q433" s="21"/>
    </row>
    <row r="434" spans="17:17" x14ac:dyDescent="0.2">
      <c r="Q434" s="21"/>
    </row>
    <row r="435" spans="17:17" x14ac:dyDescent="0.2">
      <c r="Q435" s="21"/>
    </row>
    <row r="436" spans="17:17" x14ac:dyDescent="0.2">
      <c r="Q436" s="21"/>
    </row>
    <row r="437" spans="17:17" x14ac:dyDescent="0.2">
      <c r="Q437" s="21"/>
    </row>
    <row r="438" spans="17:17" x14ac:dyDescent="0.2">
      <c r="Q438" s="21"/>
    </row>
    <row r="439" spans="17:17" x14ac:dyDescent="0.2">
      <c r="Q439" s="21"/>
    </row>
    <row r="440" spans="17:17" x14ac:dyDescent="0.2">
      <c r="Q440" s="21"/>
    </row>
    <row r="441" spans="17:17" x14ac:dyDescent="0.2">
      <c r="Q441" s="21"/>
    </row>
    <row r="442" spans="17:17" x14ac:dyDescent="0.2">
      <c r="Q442" s="21"/>
    </row>
    <row r="443" spans="17:17" x14ac:dyDescent="0.2">
      <c r="Q443" s="21"/>
    </row>
    <row r="444" spans="17:17" x14ac:dyDescent="0.2">
      <c r="Q444" s="21"/>
    </row>
    <row r="445" spans="17:17" x14ac:dyDescent="0.2">
      <c r="Q445" s="21"/>
    </row>
    <row r="446" spans="17:17" x14ac:dyDescent="0.2">
      <c r="Q446" s="21"/>
    </row>
    <row r="447" spans="17:17" x14ac:dyDescent="0.2">
      <c r="Q447" s="21"/>
    </row>
    <row r="448" spans="17:17" x14ac:dyDescent="0.2">
      <c r="Q448" s="21"/>
    </row>
    <row r="449" spans="17:17" x14ac:dyDescent="0.2">
      <c r="Q449" s="21"/>
    </row>
    <row r="450" spans="17:17" x14ac:dyDescent="0.2">
      <c r="Q450" s="21"/>
    </row>
    <row r="451" spans="17:17" x14ac:dyDescent="0.2">
      <c r="Q451" s="21"/>
    </row>
    <row r="452" spans="17:17" x14ac:dyDescent="0.2">
      <c r="Q452" s="21"/>
    </row>
  </sheetData>
  <customSheetViews>
    <customSheetView guid="{85BAD813-6002-444C-94EE-85A3EFC799A5}" showPageBreaks="1" printArea="1" view="pageBreakPreview">
      <pane xSplit="3" ySplit="3" topLeftCell="D31" activePane="bottomRight" state="frozen"/>
      <selection pane="bottomRight" activeCell="A2" sqref="A2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DF69299D-7752-4436-A45D-28F739CEE21B}" showPageBreaks="1" printArea="1" view="pageBreakPreview">
      <pane xSplit="3" ySplit="3" topLeftCell="D31" activePane="bottomRight" state="frozen"/>
      <selection pane="bottomRight" activeCell="K31" sqref="K31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6C0BD6A7-6718-429D-82D9-D2FE0341EA2C}" showPageBreaks="1" printArea="1" view="pageBreakPreview">
      <pane xSplit="3" ySplit="3" topLeftCell="D49" activePane="bottomRight" state="frozen"/>
      <selection pane="bottomRight" activeCell="H96" sqref="H96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3"/>
      <headerFooter alignWithMargins="0"/>
    </customSheetView>
    <customSheetView guid="{594C4AB0-8D5F-4373-9663-410F4413FE3A}" showPageBreaks="1" printArea="1" view="pageBreakPreview">
      <pane xSplit="3" ySplit="3" topLeftCell="E4" activePane="bottomRight" state="frozen"/>
      <selection pane="bottomRight" activeCell="F33" sqref="F33:F38"/>
      <rowBreaks count="1" manualBreakCount="1">
        <brk id="62" max="16" man="1"/>
      </rowBreaks>
      <pageMargins left="0" right="0" top="0" bottom="0" header="0.31496062992125984" footer="0.31496062992125984"/>
      <pageSetup paperSize="8" scale="85" orientation="landscape" r:id="rId4"/>
      <headerFooter alignWithMargins="0"/>
    </customSheetView>
  </customSheetViews>
  <mergeCells count="11">
    <mergeCell ref="D94:F94"/>
    <mergeCell ref="D87:F87"/>
    <mergeCell ref="D5:F5"/>
    <mergeCell ref="D31:F31"/>
    <mergeCell ref="D42:F42"/>
    <mergeCell ref="D11:F11"/>
    <mergeCell ref="D64:F64"/>
    <mergeCell ref="D76:F76"/>
    <mergeCell ref="D54:F54"/>
    <mergeCell ref="D25:F25"/>
    <mergeCell ref="D18:F18"/>
  </mergeCells>
  <phoneticPr fontId="0" type="noConversion"/>
  <pageMargins left="0" right="0" top="0" bottom="0" header="0.31496062992125984" footer="0.31496062992125984"/>
  <pageSetup paperSize="8" scale="85" orientation="landscape" r:id="rId5"/>
  <headerFooter alignWithMargins="0"/>
  <rowBreaks count="1" manualBreakCount="1">
    <brk id="62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indexed="13"/>
  </sheetPr>
  <dimension ref="A1:R274"/>
  <sheetViews>
    <sheetView view="pageBreakPreview" zoomScaleSheetLayoutView="100" workbookViewId="0">
      <pane xSplit="3" ySplit="3" topLeftCell="D25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9.140625" defaultRowHeight="11.25" x14ac:dyDescent="0.2"/>
  <cols>
    <col min="1" max="1" width="22.85546875" style="2" customWidth="1"/>
    <col min="2" max="2" width="8.7109375" style="2" bestFit="1" customWidth="1"/>
    <col min="3" max="3" width="4.42578125" style="6" bestFit="1" customWidth="1"/>
    <col min="4" max="4" width="7.85546875" style="17" bestFit="1" customWidth="1"/>
    <col min="5" max="5" width="13.140625" style="2" bestFit="1" customWidth="1"/>
    <col min="6" max="6" width="15.7109375" style="2" customWidth="1"/>
    <col min="7" max="7" width="11.28515625" style="2" bestFit="1" customWidth="1"/>
    <col min="8" max="9" width="13.140625" style="2" bestFit="1" customWidth="1"/>
    <col min="10" max="10" width="15.7109375" style="2" customWidth="1"/>
    <col min="11" max="11" width="11.28515625" style="2" bestFit="1" customWidth="1"/>
    <col min="12" max="13" width="13.140625" style="2" bestFit="1" customWidth="1"/>
    <col min="14" max="14" width="11.28515625" style="2" bestFit="1" customWidth="1"/>
    <col min="15" max="15" width="13.140625" style="2" bestFit="1" customWidth="1"/>
    <col min="16" max="16" width="8.28515625" style="15" customWidth="1"/>
    <col min="17" max="17" width="9.5703125" style="29" bestFit="1" customWidth="1"/>
    <col min="18" max="16384" width="9.140625" style="2"/>
  </cols>
  <sheetData>
    <row r="1" spans="1:17" x14ac:dyDescent="0.2">
      <c r="A1" s="18" t="s">
        <v>1510</v>
      </c>
      <c r="D1" s="17" t="s">
        <v>20</v>
      </c>
    </row>
    <row r="3" spans="1:17" ht="33" customHeight="1" x14ac:dyDescent="0.2">
      <c r="A3" s="340" t="s">
        <v>1</v>
      </c>
      <c r="B3" s="340" t="s">
        <v>0</v>
      </c>
      <c r="C3" s="341" t="s">
        <v>2</v>
      </c>
      <c r="D3" s="342" t="s">
        <v>3</v>
      </c>
      <c r="E3" s="343" t="s">
        <v>190</v>
      </c>
      <c r="F3" s="343" t="s">
        <v>1501</v>
      </c>
      <c r="G3" s="343" t="s">
        <v>178</v>
      </c>
      <c r="H3" s="343" t="s">
        <v>179</v>
      </c>
      <c r="I3" s="343" t="s">
        <v>184</v>
      </c>
      <c r="J3" s="343" t="s">
        <v>191</v>
      </c>
      <c r="K3" s="343" t="s">
        <v>186</v>
      </c>
      <c r="L3" s="344" t="str">
        <f>+mayor!L3</f>
        <v>INTEREST</v>
      </c>
      <c r="M3" s="345" t="s">
        <v>12</v>
      </c>
      <c r="N3" s="343" t="s">
        <v>183</v>
      </c>
      <c r="O3" s="343" t="s">
        <v>182</v>
      </c>
      <c r="P3" s="346" t="s">
        <v>85</v>
      </c>
      <c r="Q3" s="347" t="s">
        <v>11</v>
      </c>
    </row>
    <row r="4" spans="1:17" s="9" customFormat="1" ht="14.25" customHeight="1" thickBot="1" x14ac:dyDescent="0.25">
      <c r="A4" s="25"/>
      <c r="B4" s="25"/>
      <c r="C4" s="5"/>
      <c r="D4" s="22"/>
      <c r="E4" s="139"/>
      <c r="F4" s="139"/>
      <c r="G4" s="139"/>
      <c r="H4" s="139"/>
      <c r="I4" s="139"/>
      <c r="J4" s="139"/>
      <c r="K4" s="139"/>
      <c r="L4" s="140"/>
      <c r="M4" s="141"/>
      <c r="N4" s="139"/>
      <c r="O4" s="139"/>
      <c r="P4" s="7"/>
      <c r="Q4" s="49"/>
    </row>
    <row r="5" spans="1:17" ht="12" thickBot="1" x14ac:dyDescent="0.25">
      <c r="A5" s="330" t="s">
        <v>10</v>
      </c>
      <c r="B5" s="331" t="s">
        <v>482</v>
      </c>
      <c r="D5" s="568" t="s">
        <v>257</v>
      </c>
      <c r="E5" s="569"/>
      <c r="F5" s="570"/>
    </row>
    <row r="6" spans="1:17" x14ac:dyDescent="0.2">
      <c r="G6" s="9"/>
      <c r="H6" s="9"/>
      <c r="I6" s="9"/>
      <c r="J6" s="9"/>
      <c r="Q6" s="21"/>
    </row>
    <row r="7" spans="1:17" s="9" customFormat="1" x14ac:dyDescent="0.2">
      <c r="A7" s="61" t="str">
        <f>+'1-10'!C26</f>
        <v>ISUZU KB200i 2x4 [173]</v>
      </c>
      <c r="B7" s="61" t="str">
        <f>+'1-10'!R26</f>
        <v>CMB 477 L</v>
      </c>
      <c r="C7" s="54">
        <v>625</v>
      </c>
      <c r="D7" s="46">
        <v>15000</v>
      </c>
      <c r="E7" s="62">
        <f>+D7/P7*(CALC!$A$4)</f>
        <v>35982.008995502249</v>
      </c>
      <c r="F7" s="37">
        <v>3000</v>
      </c>
      <c r="G7" s="37">
        <f>5500*(1+CALC!$A$2)</f>
        <v>3987.5</v>
      </c>
      <c r="H7" s="37">
        <f>58000</f>
        <v>58000</v>
      </c>
      <c r="I7" s="37">
        <v>15393.84</v>
      </c>
      <c r="J7" s="37"/>
      <c r="K7" s="37">
        <v>960</v>
      </c>
      <c r="L7" s="37"/>
      <c r="M7" s="37">
        <f>SUM(E7:L7)</f>
        <v>117323.34899550225</v>
      </c>
      <c r="N7" s="32">
        <f>M7/CALC!$A$8*CALC!$A$6</f>
        <v>4464.6977443261585</v>
      </c>
      <c r="O7" s="37">
        <f>+M7+N7</f>
        <v>121788.04673982841</v>
      </c>
      <c r="P7" s="48">
        <v>6.67</v>
      </c>
      <c r="Q7" s="49"/>
    </row>
    <row r="8" spans="1:17" x14ac:dyDescent="0.2">
      <c r="A8" s="12"/>
      <c r="B8" s="12"/>
      <c r="C8" s="19"/>
      <c r="D8" s="8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31"/>
      <c r="Q8" s="21"/>
    </row>
    <row r="9" spans="1:17" s="18" customFormat="1" x14ac:dyDescent="0.2">
      <c r="A9" s="4"/>
      <c r="B9" s="4" t="s">
        <v>14</v>
      </c>
      <c r="C9" s="26"/>
      <c r="D9" s="16">
        <f t="shared" ref="D9:L9" si="0">SUM(D7:D8)</f>
        <v>15000</v>
      </c>
      <c r="E9" s="14">
        <f t="shared" si="0"/>
        <v>35982.008995502249</v>
      </c>
      <c r="F9" s="14">
        <f t="shared" si="0"/>
        <v>3000</v>
      </c>
      <c r="G9" s="14">
        <f t="shared" si="0"/>
        <v>3987.5</v>
      </c>
      <c r="H9" s="14">
        <f t="shared" si="0"/>
        <v>58000</v>
      </c>
      <c r="I9" s="14">
        <f t="shared" si="0"/>
        <v>15393.84</v>
      </c>
      <c r="J9" s="14">
        <f t="shared" si="0"/>
        <v>0</v>
      </c>
      <c r="K9" s="14">
        <f t="shared" si="0"/>
        <v>960</v>
      </c>
      <c r="L9" s="14">
        <f t="shared" si="0"/>
        <v>0</v>
      </c>
      <c r="M9" s="14">
        <f>SUM(M7:M8)</f>
        <v>117323.34899550225</v>
      </c>
      <c r="N9" s="14">
        <f>M9/CALC!$A$8*CALC!$A$6</f>
        <v>4464.6977443261585</v>
      </c>
      <c r="O9" s="14">
        <f>+M9+N9</f>
        <v>121788.04673982841</v>
      </c>
      <c r="P9" s="33"/>
      <c r="Q9" s="135">
        <f>(+O9/D9)*(1+CALC!$A$3)</f>
        <v>8.1192031159885598</v>
      </c>
    </row>
    <row r="10" spans="1:17" s="10" customFormat="1" ht="17.25" customHeight="1" thickBot="1" x14ac:dyDescent="0.25">
      <c r="A10" s="63"/>
      <c r="B10" s="63"/>
      <c r="C10" s="87"/>
      <c r="D10" s="88"/>
      <c r="E10" s="89"/>
      <c r="F10" s="89"/>
      <c r="G10" s="89"/>
      <c r="H10" s="89"/>
      <c r="I10" s="89"/>
      <c r="J10" s="89"/>
      <c r="K10" s="89"/>
      <c r="L10" s="89"/>
      <c r="M10" s="63"/>
      <c r="N10" s="89"/>
      <c r="O10" s="89"/>
      <c r="P10" s="24"/>
      <c r="Q10" s="44"/>
    </row>
    <row r="11" spans="1:17" ht="12" thickBot="1" x14ac:dyDescent="0.25">
      <c r="A11" s="330" t="s">
        <v>10</v>
      </c>
      <c r="B11" s="331" t="s">
        <v>483</v>
      </c>
      <c r="D11" s="568" t="s">
        <v>258</v>
      </c>
      <c r="E11" s="569"/>
      <c r="F11" s="570"/>
    </row>
    <row r="12" spans="1:17" x14ac:dyDescent="0.2">
      <c r="G12" s="9"/>
      <c r="H12" s="9"/>
      <c r="I12" s="9"/>
      <c r="J12" s="9"/>
      <c r="Q12" s="21"/>
    </row>
    <row r="13" spans="1:17" s="9" customFormat="1" x14ac:dyDescent="0.2">
      <c r="A13" s="61" t="str">
        <f>+'1-10'!C57</f>
        <v>NISSAN   UD 40A M02 [173]</v>
      </c>
      <c r="B13" s="61" t="str">
        <f>+'1-10'!R57</f>
        <v>CMJ 501 L</v>
      </c>
      <c r="C13" s="54">
        <v>656</v>
      </c>
      <c r="D13" s="46">
        <v>20000</v>
      </c>
      <c r="E13" s="62">
        <f>+D13/P13*(CALC!$A$4)</f>
        <v>160000</v>
      </c>
      <c r="F13" s="37">
        <v>3000</v>
      </c>
      <c r="G13" s="37">
        <f>6057.278*(1+CALC!$A$2)</f>
        <v>4391.5265500000005</v>
      </c>
      <c r="H13" s="37">
        <v>40000</v>
      </c>
      <c r="I13" s="37">
        <v>29097.919999999998</v>
      </c>
      <c r="J13" s="37"/>
      <c r="K13" s="37">
        <v>2400</v>
      </c>
      <c r="L13" s="37"/>
      <c r="M13" s="37">
        <f t="shared" ref="M13:M22" si="1">SUM(E13:L13)</f>
        <v>238889.44654999999</v>
      </c>
      <c r="N13" s="32">
        <f>M13/CALC!$A$8*CALC!$A$6</f>
        <v>9090.851755314261</v>
      </c>
      <c r="O13" s="37">
        <f t="shared" ref="O13:O22" si="2">+M13+N13</f>
        <v>247980.29830531427</v>
      </c>
      <c r="P13" s="48">
        <v>2</v>
      </c>
      <c r="Q13" s="49"/>
    </row>
    <row r="14" spans="1:17" s="9" customFormat="1" x14ac:dyDescent="0.2">
      <c r="A14" s="61" t="str">
        <f>+'1-10'!C58</f>
        <v>NISSAN   UD 40A M02 [173]</v>
      </c>
      <c r="B14" s="61" t="str">
        <f>+'1-10'!R58</f>
        <v>CMJ 531 L</v>
      </c>
      <c r="C14" s="54">
        <v>657</v>
      </c>
      <c r="D14" s="46">
        <v>18000</v>
      </c>
      <c r="E14" s="62">
        <f>+D14/P14*(CALC!$A$4)</f>
        <v>144000</v>
      </c>
      <c r="F14" s="37">
        <v>3000</v>
      </c>
      <c r="G14" s="37">
        <f>6057.278*(1+CALC!$A$2)</f>
        <v>4391.5265500000005</v>
      </c>
      <c r="H14" s="37">
        <v>40000</v>
      </c>
      <c r="I14" s="37">
        <v>29097.919999999998</v>
      </c>
      <c r="J14" s="37"/>
      <c r="K14" s="37">
        <v>2400</v>
      </c>
      <c r="L14" s="37"/>
      <c r="M14" s="37">
        <f t="shared" si="1"/>
        <v>222889.44654999999</v>
      </c>
      <c r="N14" s="32">
        <f>M14/CALC!$A$8*CALC!$A$6</f>
        <v>8481.9775242184787</v>
      </c>
      <c r="O14" s="37">
        <f t="shared" si="2"/>
        <v>231371.42407421846</v>
      </c>
      <c r="P14" s="48">
        <v>2</v>
      </c>
      <c r="Q14" s="49"/>
    </row>
    <row r="15" spans="1:17" s="9" customFormat="1" x14ac:dyDescent="0.2">
      <c r="A15" s="61" t="str">
        <f>+'1-10'!C59</f>
        <v>NISSAN   UD 40A M02 [173]</v>
      </c>
      <c r="B15" s="61" t="str">
        <f>+'1-10'!R59</f>
        <v>CMS 102 L</v>
      </c>
      <c r="C15" s="54">
        <v>658</v>
      </c>
      <c r="D15" s="46">
        <v>10000</v>
      </c>
      <c r="E15" s="62">
        <f>+D15/P15*(CALC!$A$4)</f>
        <v>80000</v>
      </c>
      <c r="F15" s="37">
        <v>3000</v>
      </c>
      <c r="G15" s="37">
        <f>6057.278*(1+CALC!$A$2)</f>
        <v>4391.5265500000005</v>
      </c>
      <c r="H15" s="37">
        <v>40000</v>
      </c>
      <c r="I15" s="37">
        <v>29097.919999999998</v>
      </c>
      <c r="J15" s="37"/>
      <c r="K15" s="37">
        <v>2400</v>
      </c>
      <c r="L15" s="37"/>
      <c r="M15" s="37">
        <f t="shared" si="1"/>
        <v>158889.44654999999</v>
      </c>
      <c r="N15" s="32">
        <f>M15/CALC!$A$8*CALC!$A$6</f>
        <v>6046.4805998353504</v>
      </c>
      <c r="O15" s="37">
        <f t="shared" si="2"/>
        <v>164935.92714983533</v>
      </c>
      <c r="P15" s="48">
        <v>2</v>
      </c>
      <c r="Q15" s="49"/>
    </row>
    <row r="16" spans="1:17" s="9" customFormat="1" x14ac:dyDescent="0.2">
      <c r="A16" s="61" t="str">
        <f>+'1-10'!C60</f>
        <v>NISSAN   UD 40A M02 [173]</v>
      </c>
      <c r="B16" s="61" t="str">
        <f>+'1-10'!R60</f>
        <v>CMJ 538 L</v>
      </c>
      <c r="C16" s="54">
        <v>659</v>
      </c>
      <c r="D16" s="46">
        <v>10000</v>
      </c>
      <c r="E16" s="62">
        <f>+D16/P16*(CALC!$A$4)</f>
        <v>80000</v>
      </c>
      <c r="F16" s="37">
        <v>3000</v>
      </c>
      <c r="G16" s="37">
        <f>6057.278*(1+CALC!$A$2)</f>
        <v>4391.5265500000005</v>
      </c>
      <c r="H16" s="37">
        <v>40000</v>
      </c>
      <c r="I16" s="566">
        <v>30000</v>
      </c>
      <c r="J16" s="37"/>
      <c r="K16" s="37">
        <v>2400</v>
      </c>
      <c r="L16" s="37"/>
      <c r="M16" s="37">
        <f t="shared" si="1"/>
        <v>159791.52655000001</v>
      </c>
      <c r="N16" s="32">
        <f>M16/CALC!$A$8*CALC!$A$6</f>
        <v>6080.808928984532</v>
      </c>
      <c r="O16" s="37">
        <f t="shared" si="2"/>
        <v>165872.33547898455</v>
      </c>
      <c r="P16" s="48">
        <v>2</v>
      </c>
      <c r="Q16" s="49"/>
    </row>
    <row r="17" spans="1:17" s="9" customFormat="1" x14ac:dyDescent="0.2">
      <c r="A17" s="61" t="str">
        <f>+'1-10'!C63</f>
        <v>NISSAN   UD 40A M02 [073]</v>
      </c>
      <c r="B17" s="61" t="str">
        <f>+'1-10'!R63</f>
        <v>CMJ 511 L</v>
      </c>
      <c r="C17" s="54">
        <v>662</v>
      </c>
      <c r="D17" s="46">
        <v>15000</v>
      </c>
      <c r="E17" s="62">
        <f>+D17/P17*(CALC!$A$4)</f>
        <v>120000</v>
      </c>
      <c r="F17" s="37">
        <v>3000</v>
      </c>
      <c r="G17" s="37">
        <f>6057.278*(1+CALC!$A$2)</f>
        <v>4391.5265500000005</v>
      </c>
      <c r="H17" s="37">
        <v>40000</v>
      </c>
      <c r="I17" s="37">
        <v>29322.53</v>
      </c>
      <c r="J17" s="37"/>
      <c r="K17" s="37">
        <v>2400</v>
      </c>
      <c r="L17" s="37"/>
      <c r="M17" s="37">
        <f t="shared" si="1"/>
        <v>199114.05655000001</v>
      </c>
      <c r="N17" s="32">
        <f>M17/CALC!$A$8*CALC!$A$6</f>
        <v>7577.2136301402088</v>
      </c>
      <c r="O17" s="37">
        <f t="shared" si="2"/>
        <v>206691.27018014021</v>
      </c>
      <c r="P17" s="48">
        <v>2</v>
      </c>
      <c r="Q17" s="49"/>
    </row>
    <row r="18" spans="1:17" s="9" customFormat="1" x14ac:dyDescent="0.2">
      <c r="A18" s="61" t="str">
        <f>+'1-10'!C64</f>
        <v>NISSAN   UD 40A M02 [173]</v>
      </c>
      <c r="B18" s="61" t="str">
        <f>+'1-10'!R64</f>
        <v>CNN 494 L</v>
      </c>
      <c r="C18" s="54">
        <v>663</v>
      </c>
      <c r="D18" s="46">
        <v>10000</v>
      </c>
      <c r="E18" s="62">
        <f>+D18/P18*(CALC!$A$4)</f>
        <v>80000</v>
      </c>
      <c r="F18" s="37">
        <v>3000</v>
      </c>
      <c r="G18" s="37">
        <f>6057.278*(1+CALC!$A$2)</f>
        <v>4391.5265500000005</v>
      </c>
      <c r="H18" s="37">
        <v>40000</v>
      </c>
      <c r="I18" s="37">
        <v>22476.75</v>
      </c>
      <c r="J18" s="37"/>
      <c r="K18" s="37">
        <v>2400</v>
      </c>
      <c r="L18" s="37"/>
      <c r="M18" s="37">
        <f t="shared" si="1"/>
        <v>152268.27655000001</v>
      </c>
      <c r="N18" s="32">
        <f>M18/CALC!$A$8*CALC!$A$6</f>
        <v>5794.514362791323</v>
      </c>
      <c r="O18" s="37">
        <f t="shared" si="2"/>
        <v>158062.79091279133</v>
      </c>
      <c r="P18" s="48">
        <v>2</v>
      </c>
      <c r="Q18" s="49"/>
    </row>
    <row r="19" spans="1:17" s="9" customFormat="1" x14ac:dyDescent="0.2">
      <c r="A19" s="61" t="str">
        <f>+'1-10'!C67</f>
        <v>NISSAN   UD 40A M02 [173]</v>
      </c>
      <c r="B19" s="61" t="str">
        <f>+'1-10'!R67</f>
        <v>CMS 094 L</v>
      </c>
      <c r="C19" s="54">
        <v>666</v>
      </c>
      <c r="D19" s="46">
        <v>25000</v>
      </c>
      <c r="E19" s="62">
        <f>+D19/P19*(CALC!$A$4)</f>
        <v>200000</v>
      </c>
      <c r="F19" s="37">
        <v>3000</v>
      </c>
      <c r="G19" s="37">
        <f>6057.278*(1+CALC!$A$2)</f>
        <v>4391.5265500000005</v>
      </c>
      <c r="H19" s="37">
        <v>40000</v>
      </c>
      <c r="I19" s="37">
        <v>29322.53</v>
      </c>
      <c r="J19" s="37"/>
      <c r="K19" s="37">
        <v>2400</v>
      </c>
      <c r="L19" s="37"/>
      <c r="M19" s="37">
        <f t="shared" si="1"/>
        <v>279114.05654999998</v>
      </c>
      <c r="N19" s="32">
        <f>M19/CALC!$A$8*CALC!$A$6</f>
        <v>10621.584785619116</v>
      </c>
      <c r="O19" s="37">
        <f t="shared" si="2"/>
        <v>289735.64133561909</v>
      </c>
      <c r="P19" s="48">
        <v>2</v>
      </c>
      <c r="Q19" s="49"/>
    </row>
    <row r="20" spans="1:17" s="9" customFormat="1" x14ac:dyDescent="0.2">
      <c r="A20" s="61" t="str">
        <f>+'1-10'!C71</f>
        <v>NISSAN   UD 40A M02 [173]</v>
      </c>
      <c r="B20" s="61" t="str">
        <f>+'1-10'!R71</f>
        <v>CMY 249 L</v>
      </c>
      <c r="C20" s="54">
        <v>670</v>
      </c>
      <c r="D20" s="46">
        <v>10000</v>
      </c>
      <c r="E20" s="62">
        <f>+D20/P20*(CALC!$A$4)</f>
        <v>80000</v>
      </c>
      <c r="F20" s="37">
        <v>3000</v>
      </c>
      <c r="G20" s="37">
        <f>6057.278*(1+CALC!$A$2)</f>
        <v>4391.5265500000005</v>
      </c>
      <c r="H20" s="37">
        <v>40000</v>
      </c>
      <c r="I20" s="37">
        <v>29941.200000000001</v>
      </c>
      <c r="J20" s="37"/>
      <c r="K20" s="37">
        <v>2400</v>
      </c>
      <c r="L20" s="37"/>
      <c r="M20" s="37">
        <f t="shared" si="1"/>
        <v>159732.72654999999</v>
      </c>
      <c r="N20" s="32">
        <f>M20/CALC!$A$8*CALC!$A$6</f>
        <v>6078.5713161852536</v>
      </c>
      <c r="O20" s="37">
        <f t="shared" si="2"/>
        <v>165811.29786618525</v>
      </c>
      <c r="P20" s="48">
        <v>2</v>
      </c>
      <c r="Q20" s="49"/>
    </row>
    <row r="21" spans="1:17" s="9" customFormat="1" x14ac:dyDescent="0.2">
      <c r="A21" s="61" t="str">
        <f>+'1-10'!C72</f>
        <v>NISSAN   UD 40A M02 [173]</v>
      </c>
      <c r="B21" s="61" t="str">
        <f>+'1-10'!R72</f>
        <v>CNV 683 L</v>
      </c>
      <c r="C21" s="54">
        <v>671</v>
      </c>
      <c r="D21" s="46">
        <v>10000</v>
      </c>
      <c r="E21" s="62">
        <f>+D21/P21*(CALC!$A$4)</f>
        <v>80000</v>
      </c>
      <c r="F21" s="37">
        <v>3000</v>
      </c>
      <c r="G21" s="37">
        <f>6057.278*(1+CALC!$A$2)</f>
        <v>4391.5265500000005</v>
      </c>
      <c r="H21" s="37">
        <v>40000</v>
      </c>
      <c r="I21" s="37">
        <v>22476.75</v>
      </c>
      <c r="J21" s="37"/>
      <c r="K21" s="37">
        <v>2400</v>
      </c>
      <c r="L21" s="37"/>
      <c r="M21" s="37">
        <f t="shared" si="1"/>
        <v>152268.27655000001</v>
      </c>
      <c r="N21" s="32">
        <f>M21/CALC!$A$8*CALC!$A$6</f>
        <v>5794.514362791323</v>
      </c>
      <c r="O21" s="37">
        <f t="shared" si="2"/>
        <v>158062.79091279133</v>
      </c>
      <c r="P21" s="48">
        <v>2</v>
      </c>
      <c r="Q21" s="49"/>
    </row>
    <row r="22" spans="1:17" s="9" customFormat="1" x14ac:dyDescent="0.2">
      <c r="A22" s="61" t="str">
        <f>+'1-10'!C73</f>
        <v>NISSAN   UD 40A M02 [173]</v>
      </c>
      <c r="B22" s="61" t="str">
        <f>+'1-10'!R73</f>
        <v>CNN 483 L</v>
      </c>
      <c r="C22" s="54">
        <v>672</v>
      </c>
      <c r="D22" s="46">
        <v>10000</v>
      </c>
      <c r="E22" s="62">
        <f>+D22/P22*(CALC!$A$4)</f>
        <v>80000</v>
      </c>
      <c r="F22" s="37">
        <v>3000</v>
      </c>
      <c r="G22" s="37">
        <f>6057.278*(1+CALC!$A$2)</f>
        <v>4391.5265500000005</v>
      </c>
      <c r="H22" s="37">
        <v>40000</v>
      </c>
      <c r="I22" s="37">
        <v>22476.75</v>
      </c>
      <c r="J22" s="37"/>
      <c r="K22" s="37">
        <v>2400</v>
      </c>
      <c r="L22" s="37"/>
      <c r="M22" s="37">
        <f t="shared" si="1"/>
        <v>152268.27655000001</v>
      </c>
      <c r="N22" s="32">
        <f>M22/CALC!$A$8*CALC!$A$6</f>
        <v>5794.514362791323</v>
      </c>
      <c r="O22" s="37">
        <f t="shared" si="2"/>
        <v>158062.79091279133</v>
      </c>
      <c r="P22" s="48">
        <v>2</v>
      </c>
      <c r="Q22" s="49"/>
    </row>
    <row r="23" spans="1:17" s="9" customFormat="1" x14ac:dyDescent="0.2">
      <c r="A23" s="61"/>
      <c r="B23" s="61"/>
      <c r="C23" s="54"/>
      <c r="D23" s="46"/>
      <c r="E23" s="62"/>
      <c r="F23" s="37"/>
      <c r="G23" s="37"/>
      <c r="H23" s="37"/>
      <c r="I23" s="37"/>
      <c r="J23" s="37"/>
      <c r="K23" s="37"/>
      <c r="L23" s="37"/>
      <c r="M23" s="37"/>
      <c r="N23" s="32"/>
      <c r="O23" s="37"/>
      <c r="P23" s="48"/>
      <c r="Q23" s="49"/>
    </row>
    <row r="24" spans="1:17" s="18" customFormat="1" x14ac:dyDescent="0.2">
      <c r="A24" s="4"/>
      <c r="B24" s="4" t="s">
        <v>14</v>
      </c>
      <c r="C24" s="26"/>
      <c r="D24" s="16">
        <f t="shared" ref="D24:M24" si="3">SUM(D13:D23)</f>
        <v>138000</v>
      </c>
      <c r="E24" s="14">
        <f t="shared" si="3"/>
        <v>1104000</v>
      </c>
      <c r="F24" s="14">
        <f t="shared" si="3"/>
        <v>30000</v>
      </c>
      <c r="G24" s="14">
        <f t="shared" si="3"/>
        <v>43915.265500000016</v>
      </c>
      <c r="H24" s="14">
        <f t="shared" si="3"/>
        <v>400000</v>
      </c>
      <c r="I24" s="14">
        <f t="shared" si="3"/>
        <v>273310.27</v>
      </c>
      <c r="J24" s="14">
        <f t="shared" si="3"/>
        <v>0</v>
      </c>
      <c r="K24" s="14">
        <f t="shared" si="3"/>
        <v>24000</v>
      </c>
      <c r="L24" s="14">
        <f t="shared" si="3"/>
        <v>0</v>
      </c>
      <c r="M24" s="14">
        <f t="shared" si="3"/>
        <v>1875225.5355</v>
      </c>
      <c r="N24" s="14">
        <f>M24/CALC!$A$8*CALC!$A$6</f>
        <v>71361.031628671175</v>
      </c>
      <c r="O24" s="14">
        <f>+M24+N24</f>
        <v>1946586.5671286711</v>
      </c>
      <c r="P24" s="33"/>
      <c r="Q24" s="135">
        <f>(+O24/D24)*(1+CALC!$A$3)</f>
        <v>14.105699761801965</v>
      </c>
    </row>
    <row r="26" spans="1:17" ht="12" thickBot="1" x14ac:dyDescent="0.25"/>
    <row r="27" spans="1:17" ht="12" thickBot="1" x14ac:dyDescent="0.25">
      <c r="A27" s="330" t="s">
        <v>10</v>
      </c>
      <c r="B27" s="331" t="s">
        <v>484</v>
      </c>
      <c r="D27" s="568" t="s">
        <v>259</v>
      </c>
      <c r="E27" s="569"/>
      <c r="F27" s="570"/>
    </row>
    <row r="28" spans="1:17" x14ac:dyDescent="0.2">
      <c r="G28" s="9"/>
      <c r="H28" s="9"/>
      <c r="I28" s="9"/>
      <c r="J28" s="9"/>
      <c r="Q28" s="21"/>
    </row>
    <row r="29" spans="1:17" s="561" customFormat="1" x14ac:dyDescent="0.2">
      <c r="A29" s="554" t="str">
        <f>+'1-10'!C29</f>
        <v>NISSAN NP 300 4X4 [173]</v>
      </c>
      <c r="B29" s="554" t="str">
        <f>+'1-10'!R29</f>
        <v>CLW 529 L</v>
      </c>
      <c r="C29" s="555" t="s">
        <v>330</v>
      </c>
      <c r="D29" s="556">
        <v>10000</v>
      </c>
      <c r="E29" s="557">
        <f>+D29/P29*(CALC!$A$4)</f>
        <v>17601.7601760176</v>
      </c>
      <c r="F29" s="558">
        <v>3000</v>
      </c>
      <c r="G29" s="558">
        <f>5500*(1+CALC!$A$2)</f>
        <v>3987.5</v>
      </c>
      <c r="H29" s="558">
        <f>8000*(1+CALC!$A$2)</f>
        <v>5800</v>
      </c>
      <c r="I29" s="558">
        <v>23878.29</v>
      </c>
      <c r="J29" s="558"/>
      <c r="K29" s="558">
        <v>1200</v>
      </c>
      <c r="L29" s="558"/>
      <c r="M29" s="558">
        <f t="shared" ref="M29:M47" si="4">SUM(E29:L29)</f>
        <v>55467.550176017598</v>
      </c>
      <c r="N29" s="558">
        <f>M29/CALC!$A$8*CALC!$A$6</f>
        <v>2110.7976227618392</v>
      </c>
      <c r="O29" s="558">
        <f t="shared" ref="O29:O47" si="5">+M29+N29</f>
        <v>57578.347798779439</v>
      </c>
      <c r="P29" s="559">
        <v>9.09</v>
      </c>
      <c r="Q29" s="560"/>
    </row>
    <row r="30" spans="1:17" s="9" customFormat="1" x14ac:dyDescent="0.2">
      <c r="A30" s="284" t="str">
        <f>+'1-10'!C30</f>
        <v>NISSAN NP 300 4X4 [173]</v>
      </c>
      <c r="B30" s="284" t="str">
        <f>+'1-10'!R30</f>
        <v>CLW 557 L</v>
      </c>
      <c r="C30" s="348" t="s">
        <v>260</v>
      </c>
      <c r="D30" s="46">
        <v>38000</v>
      </c>
      <c r="E30" s="62">
        <f>+D30/P30*(CALC!$A$4)</f>
        <v>66886.688668866889</v>
      </c>
      <c r="F30" s="37">
        <v>3000</v>
      </c>
      <c r="G30" s="37">
        <f>5500*(1+CALC!$A$2)</f>
        <v>3987.5</v>
      </c>
      <c r="H30" s="37">
        <f>58000</f>
        <v>58000</v>
      </c>
      <c r="I30" s="37">
        <v>23878.29</v>
      </c>
      <c r="J30" s="37"/>
      <c r="K30" s="37">
        <v>1200</v>
      </c>
      <c r="L30" s="37"/>
      <c r="M30" s="37">
        <f t="shared" si="4"/>
        <v>156952.47866886688</v>
      </c>
      <c r="N30" s="37">
        <f>M30/CALC!$A$8*CALC!$A$6</f>
        <v>5972.7699855052169</v>
      </c>
      <c r="O30" s="37">
        <f t="shared" si="5"/>
        <v>162925.24865437209</v>
      </c>
      <c r="P30" s="48">
        <v>9.09</v>
      </c>
      <c r="Q30" s="49"/>
    </row>
    <row r="31" spans="1:17" s="9" customFormat="1" x14ac:dyDescent="0.2">
      <c r="A31" s="284" t="str">
        <f>+'1-10'!C31</f>
        <v>NISSAN NP 300 4X4 [173]</v>
      </c>
      <c r="B31" s="284" t="str">
        <f>+'1-10'!R31</f>
        <v>CLW 563 L</v>
      </c>
      <c r="C31" s="348" t="s">
        <v>261</v>
      </c>
      <c r="D31" s="46">
        <v>40000</v>
      </c>
      <c r="E31" s="62">
        <f>+D31/P31*(CALC!$A$4)</f>
        <v>70407.040704070401</v>
      </c>
      <c r="F31" s="37">
        <v>3000</v>
      </c>
      <c r="G31" s="37">
        <f>5500*(1+CALC!$A$2)</f>
        <v>3987.5</v>
      </c>
      <c r="H31" s="37">
        <f>58000</f>
        <v>58000</v>
      </c>
      <c r="I31" s="37">
        <v>23928.17</v>
      </c>
      <c r="J31" s="37"/>
      <c r="K31" s="37">
        <v>1200</v>
      </c>
      <c r="L31" s="37"/>
      <c r="M31" s="37">
        <f t="shared" si="4"/>
        <v>160522.7107040704</v>
      </c>
      <c r="N31" s="37">
        <f>M31/CALC!$A$8*CALC!$A$6</f>
        <v>6108.6338783344709</v>
      </c>
      <c r="O31" s="37">
        <f t="shared" si="5"/>
        <v>166631.34458240488</v>
      </c>
      <c r="P31" s="48">
        <v>9.09</v>
      </c>
      <c r="Q31" s="49"/>
    </row>
    <row r="32" spans="1:17" s="561" customFormat="1" x14ac:dyDescent="0.2">
      <c r="A32" s="554" t="str">
        <f>+'1-10'!C32</f>
        <v>NISSAN NP 300 4X4 [173]</v>
      </c>
      <c r="B32" s="554" t="str">
        <f>+'1-10'!R32</f>
        <v>CLW 565 L</v>
      </c>
      <c r="C32" s="555" t="s">
        <v>262</v>
      </c>
      <c r="D32" s="556">
        <v>10000</v>
      </c>
      <c r="E32" s="557">
        <f>+D32/P32*(CALC!$A$4)</f>
        <v>17601.7601760176</v>
      </c>
      <c r="F32" s="558">
        <v>3000</v>
      </c>
      <c r="G32" s="558">
        <f>5500*(1+CALC!$A$2)</f>
        <v>3987.5</v>
      </c>
      <c r="H32" s="558">
        <f>8000*(1+CALC!$A$2)</f>
        <v>5800</v>
      </c>
      <c r="I32" s="558">
        <v>23928.17</v>
      </c>
      <c r="J32" s="558"/>
      <c r="K32" s="37">
        <v>1200</v>
      </c>
      <c r="L32" s="558"/>
      <c r="M32" s="558">
        <f t="shared" si="4"/>
        <v>55517.430176017602</v>
      </c>
      <c r="N32" s="558">
        <f>M32/CALC!$A$8*CALC!$A$6</f>
        <v>2112.6957881772805</v>
      </c>
      <c r="O32" s="558">
        <f t="shared" si="5"/>
        <v>57630.125964194885</v>
      </c>
      <c r="P32" s="559">
        <v>9.09</v>
      </c>
      <c r="Q32" s="560"/>
    </row>
    <row r="33" spans="1:17" s="561" customFormat="1" x14ac:dyDescent="0.2">
      <c r="A33" s="554" t="str">
        <f>+'1-10'!C33</f>
        <v>NISSAN NP 300 4X4 [173]</v>
      </c>
      <c r="B33" s="554" t="str">
        <f>+'1-10'!R33</f>
        <v>CLW 523 L</v>
      </c>
      <c r="C33" s="555" t="s">
        <v>263</v>
      </c>
      <c r="D33" s="556">
        <v>10000</v>
      </c>
      <c r="E33" s="557">
        <f>+D33/P33*(CALC!$A$4)</f>
        <v>17601.7601760176</v>
      </c>
      <c r="F33" s="558">
        <v>3000</v>
      </c>
      <c r="G33" s="558">
        <f>5500*(1+CALC!$A$2)</f>
        <v>3987.5</v>
      </c>
      <c r="H33" s="558">
        <f>8000*(1+CALC!$A$2)</f>
        <v>5800</v>
      </c>
      <c r="I33" s="558">
        <v>23928.17</v>
      </c>
      <c r="J33" s="558"/>
      <c r="K33" s="37">
        <v>1200</v>
      </c>
      <c r="L33" s="558"/>
      <c r="M33" s="558">
        <f t="shared" si="4"/>
        <v>55517.430176017602</v>
      </c>
      <c r="N33" s="558">
        <f>M33/CALC!$A$8*CALC!$A$6</f>
        <v>2112.6957881772805</v>
      </c>
      <c r="O33" s="558">
        <f t="shared" si="5"/>
        <v>57630.125964194885</v>
      </c>
      <c r="P33" s="559">
        <v>9.09</v>
      </c>
      <c r="Q33" s="560"/>
    </row>
    <row r="34" spans="1:17" s="561" customFormat="1" x14ac:dyDescent="0.2">
      <c r="A34" s="554" t="str">
        <f>+'1-10'!C34</f>
        <v>NISSAN NP 300 4X4 [173]</v>
      </c>
      <c r="B34" s="554" t="str">
        <f>+'1-10'!R34</f>
        <v>CLW 862 L</v>
      </c>
      <c r="C34" s="555" t="s">
        <v>264</v>
      </c>
      <c r="D34" s="556">
        <v>10000</v>
      </c>
      <c r="E34" s="557">
        <f>+D34/P34*(CALC!$A$4)</f>
        <v>17601.7601760176</v>
      </c>
      <c r="F34" s="558">
        <v>3000</v>
      </c>
      <c r="G34" s="558">
        <f>5500*(1+CALC!$A$2)</f>
        <v>3987.5</v>
      </c>
      <c r="H34" s="558">
        <f>8000*(1+CALC!$A$2)</f>
        <v>5800</v>
      </c>
      <c r="I34" s="558">
        <v>23878.29</v>
      </c>
      <c r="J34" s="558"/>
      <c r="K34" s="37">
        <v>1200</v>
      </c>
      <c r="L34" s="558"/>
      <c r="M34" s="558">
        <f t="shared" si="4"/>
        <v>55467.550176017598</v>
      </c>
      <c r="N34" s="558">
        <f>M34/CALC!$A$8*CALC!$A$6</f>
        <v>2110.7976227618392</v>
      </c>
      <c r="O34" s="558">
        <f t="shared" si="5"/>
        <v>57578.347798779439</v>
      </c>
      <c r="P34" s="559">
        <v>9.09</v>
      </c>
      <c r="Q34" s="560"/>
    </row>
    <row r="35" spans="1:17" s="9" customFormat="1" x14ac:dyDescent="0.2">
      <c r="A35" s="284" t="str">
        <f>+'1-10'!C35</f>
        <v>NISSAN NP 300 4X4 [173]</v>
      </c>
      <c r="B35" s="284" t="str">
        <f>+'1-10'!R35</f>
        <v>CLW 860 L</v>
      </c>
      <c r="C35" s="348" t="s">
        <v>265</v>
      </c>
      <c r="D35" s="46">
        <v>20000</v>
      </c>
      <c r="E35" s="62">
        <f>+D35/P35*(CALC!$A$4)</f>
        <v>35203.520352035201</v>
      </c>
      <c r="F35" s="37">
        <v>3000</v>
      </c>
      <c r="G35" s="37">
        <f>5500*(1+CALC!$A$2)</f>
        <v>3987.5</v>
      </c>
      <c r="H35" s="37">
        <f>58000</f>
        <v>58000</v>
      </c>
      <c r="I35" s="37">
        <v>23969.439999999999</v>
      </c>
      <c r="J35" s="37"/>
      <c r="K35" s="37">
        <v>1200</v>
      </c>
      <c r="L35" s="37"/>
      <c r="M35" s="37">
        <f t="shared" si="4"/>
        <v>125360.46035203521</v>
      </c>
      <c r="N35" s="37">
        <f>M35/CALC!$A$8*CALC!$A$6</f>
        <v>4770.54711916617</v>
      </c>
      <c r="O35" s="37">
        <f t="shared" si="5"/>
        <v>130131.00747120137</v>
      </c>
      <c r="P35" s="48">
        <v>9.09</v>
      </c>
      <c r="Q35" s="49"/>
    </row>
    <row r="36" spans="1:17" s="561" customFormat="1" x14ac:dyDescent="0.2">
      <c r="A36" s="554" t="str">
        <f>+'1-10'!C36</f>
        <v>NISSAN NP 300 4X4 [173]</v>
      </c>
      <c r="B36" s="554" t="str">
        <f>+'1-10'!R36</f>
        <v>CLW 856 L</v>
      </c>
      <c r="C36" s="555" t="s">
        <v>266</v>
      </c>
      <c r="D36" s="556">
        <v>10000</v>
      </c>
      <c r="E36" s="557">
        <f>+D36/P36*(CALC!$A$4)</f>
        <v>17601.7601760176</v>
      </c>
      <c r="F36" s="558">
        <v>3000</v>
      </c>
      <c r="G36" s="558">
        <f>5500*(1+CALC!$A$2)</f>
        <v>3987.5</v>
      </c>
      <c r="H36" s="558">
        <f>8000*(1+CALC!$A$2)</f>
        <v>5800</v>
      </c>
      <c r="I36" s="558">
        <v>23878.29</v>
      </c>
      <c r="J36" s="558"/>
      <c r="K36" s="37">
        <v>1200</v>
      </c>
      <c r="L36" s="558"/>
      <c r="M36" s="558">
        <f t="shared" si="4"/>
        <v>55467.550176017598</v>
      </c>
      <c r="N36" s="558">
        <f>M36/CALC!$A$8*CALC!$A$6</f>
        <v>2110.7976227618392</v>
      </c>
      <c r="O36" s="558">
        <f t="shared" si="5"/>
        <v>57578.347798779439</v>
      </c>
      <c r="P36" s="559">
        <v>9.09</v>
      </c>
      <c r="Q36" s="560"/>
    </row>
    <row r="37" spans="1:17" s="561" customFormat="1" x14ac:dyDescent="0.2">
      <c r="A37" s="554" t="str">
        <f>+'1-10'!C37</f>
        <v>NISSAN NP 300 4X4 [173]</v>
      </c>
      <c r="B37" s="554" t="str">
        <f>+'1-10'!R37</f>
        <v>CLW 831 L</v>
      </c>
      <c r="C37" s="555" t="s">
        <v>267</v>
      </c>
      <c r="D37" s="556">
        <v>10000</v>
      </c>
      <c r="E37" s="557">
        <f>+D37/P37*(CALC!$A$4)</f>
        <v>17601.7601760176</v>
      </c>
      <c r="F37" s="558">
        <v>3000</v>
      </c>
      <c r="G37" s="558">
        <f>5500*(1+CALC!$A$2)</f>
        <v>3987.5</v>
      </c>
      <c r="H37" s="558">
        <f>8000*(1+CALC!$A$2)</f>
        <v>5800</v>
      </c>
      <c r="I37" s="558">
        <v>23878.29</v>
      </c>
      <c r="J37" s="558"/>
      <c r="K37" s="37">
        <v>1200</v>
      </c>
      <c r="L37" s="558"/>
      <c r="M37" s="558">
        <f t="shared" si="4"/>
        <v>55467.550176017598</v>
      </c>
      <c r="N37" s="558">
        <f>M37/CALC!$A$8*CALC!$A$6</f>
        <v>2110.7976227618392</v>
      </c>
      <c r="O37" s="558">
        <f t="shared" si="5"/>
        <v>57578.347798779439</v>
      </c>
      <c r="P37" s="559">
        <v>9.09</v>
      </c>
      <c r="Q37" s="560"/>
    </row>
    <row r="38" spans="1:17" s="9" customFormat="1" x14ac:dyDescent="0.2">
      <c r="A38" s="284" t="str">
        <f>+'1-10'!C38</f>
        <v>NISSAN NP 300 4X4 [173]</v>
      </c>
      <c r="B38" s="284" t="str">
        <f>+'1-10'!R38</f>
        <v>CLW 837 L</v>
      </c>
      <c r="C38" s="348" t="s">
        <v>268</v>
      </c>
      <c r="D38" s="46">
        <v>20000</v>
      </c>
      <c r="E38" s="62">
        <f>+D38/P38*(CALC!$A$4)</f>
        <v>35203.520352035201</v>
      </c>
      <c r="F38" s="37">
        <v>3000</v>
      </c>
      <c r="G38" s="37">
        <f>5500*(1+CALC!$A$2)</f>
        <v>3987.5</v>
      </c>
      <c r="H38" s="37">
        <f>58000</f>
        <v>58000</v>
      </c>
      <c r="I38" s="37">
        <v>23929.17</v>
      </c>
      <c r="J38" s="37"/>
      <c r="K38" s="37">
        <v>1200</v>
      </c>
      <c r="L38" s="37"/>
      <c r="M38" s="37">
        <f t="shared" si="4"/>
        <v>125320.19035203521</v>
      </c>
      <c r="N38" s="37">
        <f>M38/CALC!$A$8*CALC!$A$6</f>
        <v>4769.0146588357802</v>
      </c>
      <c r="O38" s="37">
        <f t="shared" si="5"/>
        <v>130089.20501087098</v>
      </c>
      <c r="P38" s="48">
        <v>9.09</v>
      </c>
      <c r="Q38" s="49"/>
    </row>
    <row r="39" spans="1:17" s="9" customFormat="1" x14ac:dyDescent="0.2">
      <c r="A39" s="284" t="str">
        <f>+'1-10'!C39</f>
        <v>NISSAN NP 300 4X4 [173]</v>
      </c>
      <c r="B39" s="284" t="str">
        <f>+'1-10'!R39</f>
        <v>CLW 840 L</v>
      </c>
      <c r="C39" s="348" t="s">
        <v>269</v>
      </c>
      <c r="D39" s="46">
        <v>20000</v>
      </c>
      <c r="E39" s="62">
        <f>+D39/P39*(CALC!$A$4)</f>
        <v>35203.520352035201</v>
      </c>
      <c r="F39" s="37">
        <v>3000</v>
      </c>
      <c r="G39" s="37">
        <f>5500*(1+CALC!$A$2)</f>
        <v>3987.5</v>
      </c>
      <c r="H39" s="37">
        <f>58000</f>
        <v>58000</v>
      </c>
      <c r="I39" s="37">
        <v>23903.279999999999</v>
      </c>
      <c r="J39" s="37"/>
      <c r="K39" s="37">
        <v>1200</v>
      </c>
      <c r="L39" s="37"/>
      <c r="M39" s="37">
        <f t="shared" si="4"/>
        <v>125294.30035203521</v>
      </c>
      <c r="N39" s="37">
        <f>M39/CALC!$A$8*CALC!$A$6</f>
        <v>4768.0294242205882</v>
      </c>
      <c r="O39" s="37">
        <f t="shared" si="5"/>
        <v>130062.32977625579</v>
      </c>
      <c r="P39" s="48">
        <v>9.09</v>
      </c>
      <c r="Q39" s="49"/>
    </row>
    <row r="40" spans="1:17" s="9" customFormat="1" x14ac:dyDescent="0.2">
      <c r="A40" s="284" t="str">
        <f>+'1-10'!C40</f>
        <v>NISSAN NP 300 4X4 [173]</v>
      </c>
      <c r="B40" s="284" t="str">
        <f>+'1-10'!R40</f>
        <v>CLW 864 L</v>
      </c>
      <c r="C40" s="348" t="s">
        <v>270</v>
      </c>
      <c r="D40" s="46">
        <v>40000</v>
      </c>
      <c r="E40" s="62">
        <f>+D40/P40*(CALC!$A$4)</f>
        <v>70407.040704070401</v>
      </c>
      <c r="F40" s="37">
        <v>3000</v>
      </c>
      <c r="G40" s="37">
        <f>5500*(1+CALC!$A$2)</f>
        <v>3987.5</v>
      </c>
      <c r="H40" s="37">
        <f>58000</f>
        <v>58000</v>
      </c>
      <c r="I40" s="37">
        <v>23928.17</v>
      </c>
      <c r="J40" s="37"/>
      <c r="K40" s="37">
        <v>1200</v>
      </c>
      <c r="L40" s="37"/>
      <c r="M40" s="37">
        <f t="shared" si="4"/>
        <v>160522.7107040704</v>
      </c>
      <c r="N40" s="37">
        <f>M40/CALC!$A$8*CALC!$A$6</f>
        <v>6108.6338783344709</v>
      </c>
      <c r="O40" s="37">
        <f t="shared" si="5"/>
        <v>166631.34458240488</v>
      </c>
      <c r="P40" s="48">
        <v>9.09</v>
      </c>
      <c r="Q40" s="49"/>
    </row>
    <row r="41" spans="1:17" s="9" customFormat="1" x14ac:dyDescent="0.2">
      <c r="A41" s="284" t="str">
        <f>+'1-10'!C41</f>
        <v>NISSAN NP 300 4X4 [173]</v>
      </c>
      <c r="B41" s="284" t="str">
        <f>+'1-10'!R41</f>
        <v>CLW 845 L</v>
      </c>
      <c r="C41" s="348" t="s">
        <v>271</v>
      </c>
      <c r="D41" s="46">
        <v>30000</v>
      </c>
      <c r="E41" s="62">
        <f>+D41/P41*(CALC!$A$4)</f>
        <v>52805.280528052805</v>
      </c>
      <c r="F41" s="37">
        <v>3000</v>
      </c>
      <c r="G41" s="37">
        <f>5500*(1+CALC!$A$2)</f>
        <v>3987.5</v>
      </c>
      <c r="H41" s="37">
        <f>58000</f>
        <v>58000</v>
      </c>
      <c r="I41" s="37">
        <v>23878.29</v>
      </c>
      <c r="J41" s="37"/>
      <c r="K41" s="37">
        <v>1200</v>
      </c>
      <c r="L41" s="37"/>
      <c r="M41" s="37">
        <f t="shared" si="4"/>
        <v>142871.07052805281</v>
      </c>
      <c r="N41" s="37">
        <f>M41/CALC!$A$8*CALC!$A$6</f>
        <v>5436.9070758499629</v>
      </c>
      <c r="O41" s="37">
        <f t="shared" si="5"/>
        <v>148307.97760390278</v>
      </c>
      <c r="P41" s="48">
        <v>9.09</v>
      </c>
      <c r="Q41" s="49"/>
    </row>
    <row r="42" spans="1:17" s="9" customFormat="1" x14ac:dyDescent="0.2">
      <c r="A42" s="61" t="s">
        <v>1504</v>
      </c>
      <c r="B42" s="61" t="s">
        <v>1505</v>
      </c>
      <c r="C42" s="54"/>
      <c r="D42" s="46">
        <v>40000</v>
      </c>
      <c r="E42" s="62">
        <f>+D42/P42*(CALC!$A$4)</f>
        <v>70407.040704070401</v>
      </c>
      <c r="F42" s="37">
        <v>3000</v>
      </c>
      <c r="G42" s="37">
        <f>5500*(1+CALC!$A$2)</f>
        <v>3987.5</v>
      </c>
      <c r="H42" s="37">
        <v>20000</v>
      </c>
      <c r="I42" s="37">
        <v>100000</v>
      </c>
      <c r="J42" s="37"/>
      <c r="K42" s="37">
        <v>1200</v>
      </c>
      <c r="L42" s="37"/>
      <c r="M42" s="37">
        <f t="shared" ref="M42:M46" si="6">SUM(E42:L42)</f>
        <v>198594.54070407042</v>
      </c>
      <c r="N42" s="37">
        <f>M42/CALC!$A$8*CALC!$A$6</f>
        <v>7557.4436419381791</v>
      </c>
      <c r="O42" s="37">
        <f t="shared" ref="O42:O46" si="7">+M42+N42</f>
        <v>206151.9843460086</v>
      </c>
      <c r="P42" s="48">
        <v>9.09</v>
      </c>
      <c r="Q42" s="49"/>
    </row>
    <row r="43" spans="1:17" s="9" customFormat="1" x14ac:dyDescent="0.2">
      <c r="A43" s="61" t="s">
        <v>1504</v>
      </c>
      <c r="B43" s="61" t="s">
        <v>1506</v>
      </c>
      <c r="C43" s="54"/>
      <c r="D43" s="46">
        <v>40000</v>
      </c>
      <c r="E43" s="62">
        <f>+D43/P43*(CALC!$A$4)</f>
        <v>70407.040704070401</v>
      </c>
      <c r="F43" s="37">
        <v>3000</v>
      </c>
      <c r="G43" s="37">
        <f>5500*(1+CALC!$A$2)</f>
        <v>3987.5</v>
      </c>
      <c r="H43" s="37">
        <v>20000</v>
      </c>
      <c r="I43" s="37">
        <v>100000</v>
      </c>
      <c r="J43" s="37"/>
      <c r="K43" s="37">
        <v>1200</v>
      </c>
      <c r="L43" s="37"/>
      <c r="M43" s="37">
        <f t="shared" si="6"/>
        <v>198594.54070407042</v>
      </c>
      <c r="N43" s="37">
        <f>M43/CALC!$A$8*CALC!$A$6</f>
        <v>7557.4436419381791</v>
      </c>
      <c r="O43" s="37">
        <f t="shared" si="7"/>
        <v>206151.9843460086</v>
      </c>
      <c r="P43" s="48">
        <v>9.09</v>
      </c>
      <c r="Q43" s="49"/>
    </row>
    <row r="44" spans="1:17" s="9" customFormat="1" x14ac:dyDescent="0.2">
      <c r="A44" s="61" t="s">
        <v>1504</v>
      </c>
      <c r="B44" s="61" t="s">
        <v>1507</v>
      </c>
      <c r="C44" s="54"/>
      <c r="D44" s="46">
        <v>40000</v>
      </c>
      <c r="E44" s="62">
        <f>+D44/P44*(CALC!$A$4)</f>
        <v>70407.040704070401</v>
      </c>
      <c r="F44" s="37">
        <v>3000</v>
      </c>
      <c r="G44" s="37">
        <f>5500*(1+CALC!$A$2)</f>
        <v>3987.5</v>
      </c>
      <c r="H44" s="37">
        <v>20000</v>
      </c>
      <c r="I44" s="37">
        <v>100000</v>
      </c>
      <c r="J44" s="37"/>
      <c r="K44" s="37">
        <v>1200</v>
      </c>
      <c r="L44" s="37"/>
      <c r="M44" s="37">
        <f t="shared" si="6"/>
        <v>198594.54070407042</v>
      </c>
      <c r="N44" s="37">
        <f>M44/CALC!$A$8*CALC!$A$6</f>
        <v>7557.4436419381791</v>
      </c>
      <c r="O44" s="37">
        <f t="shared" si="7"/>
        <v>206151.9843460086</v>
      </c>
      <c r="P44" s="48">
        <v>9.09</v>
      </c>
      <c r="Q44" s="49"/>
    </row>
    <row r="45" spans="1:17" s="9" customFormat="1" x14ac:dyDescent="0.2">
      <c r="A45" s="61" t="s">
        <v>1504</v>
      </c>
      <c r="B45" s="61" t="s">
        <v>1508</v>
      </c>
      <c r="C45" s="54"/>
      <c r="D45" s="46">
        <v>40000</v>
      </c>
      <c r="E45" s="62">
        <f>+D45/P45*(CALC!$A$4)</f>
        <v>70407.040704070401</v>
      </c>
      <c r="F45" s="37">
        <v>3000</v>
      </c>
      <c r="G45" s="37">
        <f>5500*(1+CALC!$A$2)</f>
        <v>3987.5</v>
      </c>
      <c r="H45" s="37">
        <v>20000</v>
      </c>
      <c r="I45" s="37">
        <v>100000</v>
      </c>
      <c r="J45" s="37"/>
      <c r="K45" s="37">
        <v>1200</v>
      </c>
      <c r="L45" s="37"/>
      <c r="M45" s="37">
        <f t="shared" si="6"/>
        <v>198594.54070407042</v>
      </c>
      <c r="N45" s="37">
        <f>M45/CALC!$A$8*CALC!$A$6</f>
        <v>7557.4436419381791</v>
      </c>
      <c r="O45" s="37">
        <f t="shared" si="7"/>
        <v>206151.9843460086</v>
      </c>
      <c r="P45" s="48">
        <v>9.09</v>
      </c>
      <c r="Q45" s="49"/>
    </row>
    <row r="46" spans="1:17" s="9" customFormat="1" x14ac:dyDescent="0.2">
      <c r="A46" s="61" t="s">
        <v>1504</v>
      </c>
      <c r="B46" s="61" t="s">
        <v>1509</v>
      </c>
      <c r="C46" s="54"/>
      <c r="D46" s="46">
        <v>40000</v>
      </c>
      <c r="E46" s="62">
        <f>+D46/P46*(CALC!$A$4)</f>
        <v>70407.040704070401</v>
      </c>
      <c r="F46" s="37">
        <v>3000</v>
      </c>
      <c r="G46" s="37">
        <f>5500*(1+CALC!$A$2)</f>
        <v>3987.5</v>
      </c>
      <c r="H46" s="37">
        <v>20000</v>
      </c>
      <c r="I46" s="37">
        <v>100000</v>
      </c>
      <c r="J46" s="37"/>
      <c r="K46" s="37">
        <v>1200</v>
      </c>
      <c r="L46" s="37"/>
      <c r="M46" s="37">
        <f t="shared" si="6"/>
        <v>198594.54070407042</v>
      </c>
      <c r="N46" s="37">
        <f>M46/CALC!$A$8*CALC!$A$6</f>
        <v>7557.4436419381791</v>
      </c>
      <c r="O46" s="37">
        <f t="shared" si="7"/>
        <v>206151.9843460086</v>
      </c>
      <c r="P46" s="48">
        <v>9.09</v>
      </c>
      <c r="Q46" s="49"/>
    </row>
    <row r="47" spans="1:17" s="9" customFormat="1" x14ac:dyDescent="0.2">
      <c r="A47" s="284" t="str">
        <f>+'1-10'!C42</f>
        <v>NISSAN NP 300 4X4 [173]</v>
      </c>
      <c r="B47" s="284" t="str">
        <f>+'1-10'!R42</f>
        <v>CLW 849 L</v>
      </c>
      <c r="C47" s="348" t="s">
        <v>272</v>
      </c>
      <c r="D47" s="46">
        <v>40000</v>
      </c>
      <c r="E47" s="62">
        <f>+D47/P47*(CALC!$A$4)</f>
        <v>70407.040704070401</v>
      </c>
      <c r="F47" s="37">
        <v>3000</v>
      </c>
      <c r="G47" s="37">
        <f>5500*(1+CALC!$A$2)</f>
        <v>3987.5</v>
      </c>
      <c r="H47" s="37">
        <f>58000</f>
        <v>58000</v>
      </c>
      <c r="I47" s="37">
        <v>23878.29</v>
      </c>
      <c r="J47" s="37"/>
      <c r="K47" s="37">
        <v>1200</v>
      </c>
      <c r="L47" s="37"/>
      <c r="M47" s="37">
        <f t="shared" si="4"/>
        <v>160472.83070407042</v>
      </c>
      <c r="N47" s="37">
        <f>M47/CALC!$A$8*CALC!$A$6</f>
        <v>6106.7357129190304</v>
      </c>
      <c r="O47" s="37">
        <f t="shared" si="5"/>
        <v>166579.56641698946</v>
      </c>
      <c r="P47" s="48">
        <v>9.09</v>
      </c>
      <c r="Q47" s="49"/>
    </row>
    <row r="48" spans="1:17" s="18" customFormat="1" x14ac:dyDescent="0.2">
      <c r="A48" s="4"/>
      <c r="B48" s="4" t="s">
        <v>14</v>
      </c>
      <c r="C48" s="26"/>
      <c r="D48" s="16">
        <f t="shared" ref="D48:M48" si="8">SUM(D29:D47)</f>
        <v>508000</v>
      </c>
      <c r="E48" s="14">
        <f t="shared" si="8"/>
        <v>894169.41694169387</v>
      </c>
      <c r="F48" s="14">
        <f t="shared" si="8"/>
        <v>57000</v>
      </c>
      <c r="G48" s="14">
        <f t="shared" si="8"/>
        <v>75762.5</v>
      </c>
      <c r="H48" s="14">
        <f t="shared" si="8"/>
        <v>598800</v>
      </c>
      <c r="I48" s="14">
        <f t="shared" si="8"/>
        <v>834662.6</v>
      </c>
      <c r="J48" s="14">
        <f t="shared" si="8"/>
        <v>0</v>
      </c>
      <c r="K48" s="14">
        <f t="shared" si="8"/>
        <v>22800</v>
      </c>
      <c r="L48" s="14">
        <f t="shared" si="8"/>
        <v>0</v>
      </c>
      <c r="M48" s="14">
        <f t="shared" si="8"/>
        <v>2483194.5169416941</v>
      </c>
      <c r="N48" s="14">
        <f>M48/CALC!$A$8*CALC!$A$6</f>
        <v>94497.072010258504</v>
      </c>
      <c r="O48" s="14">
        <f>+M48+N48</f>
        <v>2577691.5889519528</v>
      </c>
      <c r="P48" s="33"/>
      <c r="Q48" s="135">
        <f>(+O48/D48)*(1+CALC!$A$3)</f>
        <v>5.0741960412440017</v>
      </c>
    </row>
    <row r="49" spans="1:17" ht="12" thickBot="1" x14ac:dyDescent="0.25">
      <c r="Q49" s="21"/>
    </row>
    <row r="50" spans="1:17" ht="12" thickBot="1" x14ac:dyDescent="0.25">
      <c r="A50" s="330" t="s">
        <v>10</v>
      </c>
      <c r="B50" s="331" t="s">
        <v>147</v>
      </c>
      <c r="D50" s="568" t="s">
        <v>41</v>
      </c>
      <c r="E50" s="569"/>
      <c r="F50" s="570"/>
      <c r="Q50" s="21"/>
    </row>
    <row r="51" spans="1:17" x14ac:dyDescent="0.2">
      <c r="Q51" s="21"/>
    </row>
    <row r="52" spans="1:17" s="549" customFormat="1" x14ac:dyDescent="0.2">
      <c r="A52" s="542" t="s">
        <v>45</v>
      </c>
      <c r="B52" s="542" t="s">
        <v>44</v>
      </c>
      <c r="C52" s="384">
        <v>54</v>
      </c>
      <c r="D52" s="543">
        <v>10</v>
      </c>
      <c r="E52" s="550">
        <f>+D52/P52*(CALC!$A$4)</f>
        <v>800</v>
      </c>
      <c r="F52" s="545">
        <v>3000</v>
      </c>
      <c r="G52" s="545">
        <f>710*(1+CALC!$A$2)</f>
        <v>514.75</v>
      </c>
      <c r="H52" s="545">
        <f>5000*(1+CALC!$A$2)</f>
        <v>3625</v>
      </c>
      <c r="I52" s="545"/>
      <c r="J52" s="545">
        <v>0</v>
      </c>
      <c r="K52" s="545">
        <v>468</v>
      </c>
      <c r="L52" s="545"/>
      <c r="M52" s="545">
        <f>SUM(E52:K52)</f>
        <v>8407.75</v>
      </c>
      <c r="N52" s="546">
        <f>M52/CALC!$A$8*CALC!$A$6</f>
        <v>319.95389478097263</v>
      </c>
      <c r="O52" s="545">
        <f>SUM(M52:N52)</f>
        <v>8727.7038947809724</v>
      </c>
      <c r="P52" s="547">
        <v>0.2</v>
      </c>
      <c r="Q52" s="551"/>
    </row>
    <row r="53" spans="1:17" x14ac:dyDescent="0.2">
      <c r="A53" s="12"/>
      <c r="B53" s="12"/>
      <c r="C53" s="19"/>
      <c r="D53" s="8"/>
      <c r="E53" s="30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31"/>
      <c r="Q53" s="21"/>
    </row>
    <row r="54" spans="1:17" s="18" customFormat="1" x14ac:dyDescent="0.2">
      <c r="A54" s="4"/>
      <c r="B54" s="4" t="s">
        <v>14</v>
      </c>
      <c r="C54" s="26"/>
      <c r="D54" s="16">
        <f t="shared" ref="D54:M54" si="9">SUM(D52:D53)</f>
        <v>10</v>
      </c>
      <c r="E54" s="14">
        <f t="shared" si="9"/>
        <v>800</v>
      </c>
      <c r="F54" s="14">
        <f t="shared" si="9"/>
        <v>3000</v>
      </c>
      <c r="G54" s="14">
        <f t="shared" si="9"/>
        <v>514.75</v>
      </c>
      <c r="H54" s="14">
        <f t="shared" si="9"/>
        <v>3625</v>
      </c>
      <c r="I54" s="14">
        <f t="shared" si="9"/>
        <v>0</v>
      </c>
      <c r="J54" s="14">
        <f t="shared" si="9"/>
        <v>0</v>
      </c>
      <c r="K54" s="14">
        <f t="shared" si="9"/>
        <v>468</v>
      </c>
      <c r="L54" s="14">
        <f>SUM(L52:L53)</f>
        <v>0</v>
      </c>
      <c r="M54" s="14">
        <f t="shared" si="9"/>
        <v>8407.75</v>
      </c>
      <c r="N54" s="14">
        <f>M54/CALC!$A$8*CALC!$A$6</f>
        <v>319.95389478097263</v>
      </c>
      <c r="O54" s="14">
        <f>+M54+N54</f>
        <v>8727.7038947809724</v>
      </c>
      <c r="P54" s="33"/>
      <c r="Q54" s="135">
        <f>(+O54/D54)*(1+CALC!$A$3)</f>
        <v>872.77038947809729</v>
      </c>
    </row>
    <row r="55" spans="1:17" x14ac:dyDescent="0.2">
      <c r="Q55" s="21"/>
    </row>
    <row r="56" spans="1:17" ht="12" thickBot="1" x14ac:dyDescent="0.25">
      <c r="Q56" s="21"/>
    </row>
    <row r="57" spans="1:17" ht="12" thickBot="1" x14ac:dyDescent="0.25">
      <c r="A57" s="330" t="s">
        <v>10</v>
      </c>
      <c r="B57" s="331" t="s">
        <v>148</v>
      </c>
      <c r="D57" s="568" t="s">
        <v>25</v>
      </c>
      <c r="E57" s="569"/>
      <c r="F57" s="570"/>
      <c r="Q57" s="21"/>
    </row>
    <row r="58" spans="1:17" x14ac:dyDescent="0.2">
      <c r="Q58" s="21"/>
    </row>
    <row r="59" spans="1:17" s="549" customFormat="1" x14ac:dyDescent="0.2">
      <c r="A59" s="542" t="s">
        <v>25</v>
      </c>
      <c r="B59" s="542" t="s">
        <v>46</v>
      </c>
      <c r="C59" s="384">
        <v>133</v>
      </c>
      <c r="D59" s="543">
        <v>25</v>
      </c>
      <c r="E59" s="550">
        <f>+D59/P59*(CALC!$A$4)</f>
        <v>1481.4814814814813</v>
      </c>
      <c r="F59" s="545">
        <v>3000</v>
      </c>
      <c r="G59" s="545">
        <f>6200*(1+CALC!$A$2)</f>
        <v>4495</v>
      </c>
      <c r="H59" s="545">
        <f>50000*(1+CALC!$A$2)</f>
        <v>36250</v>
      </c>
      <c r="I59" s="545"/>
      <c r="J59" s="545">
        <v>0</v>
      </c>
      <c r="K59" s="545">
        <v>240</v>
      </c>
      <c r="L59" s="545"/>
      <c r="M59" s="545">
        <f>SUM(E59:L59)</f>
        <v>45466.481481481482</v>
      </c>
      <c r="N59" s="546">
        <f>M59/CALC!$A$8*CALC!$A$6</f>
        <v>1730.2105595417283</v>
      </c>
      <c r="O59" s="545">
        <f>+M59+N59</f>
        <v>47196.692041023212</v>
      </c>
      <c r="P59" s="547">
        <v>0.27</v>
      </c>
      <c r="Q59" s="548"/>
    </row>
    <row r="60" spans="1:17" x14ac:dyDescent="0.2">
      <c r="A60" s="12"/>
      <c r="B60" s="12"/>
      <c r="C60" s="19"/>
      <c r="D60" s="8"/>
      <c r="E60" s="30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31"/>
      <c r="Q60" s="21"/>
    </row>
    <row r="61" spans="1:17" s="18" customFormat="1" x14ac:dyDescent="0.2">
      <c r="A61" s="4"/>
      <c r="B61" s="4" t="s">
        <v>14</v>
      </c>
      <c r="C61" s="26"/>
      <c r="D61" s="16">
        <f t="shared" ref="D61:M61" si="10">SUM(D59:D60)</f>
        <v>25</v>
      </c>
      <c r="E61" s="14">
        <f t="shared" si="10"/>
        <v>1481.4814814814813</v>
      </c>
      <c r="F61" s="14">
        <f t="shared" si="10"/>
        <v>3000</v>
      </c>
      <c r="G61" s="14">
        <f t="shared" si="10"/>
        <v>4495</v>
      </c>
      <c r="H61" s="14">
        <f t="shared" si="10"/>
        <v>36250</v>
      </c>
      <c r="I61" s="14">
        <f t="shared" si="10"/>
        <v>0</v>
      </c>
      <c r="J61" s="14">
        <f t="shared" si="10"/>
        <v>0</v>
      </c>
      <c r="K61" s="14">
        <f t="shared" si="10"/>
        <v>240</v>
      </c>
      <c r="L61" s="14">
        <f>SUM(L59:L60)</f>
        <v>0</v>
      </c>
      <c r="M61" s="14">
        <f t="shared" si="10"/>
        <v>45466.481481481482</v>
      </c>
      <c r="N61" s="14">
        <f>M61/CALC!$A$8*CALC!$A$6</f>
        <v>1730.2105595417283</v>
      </c>
      <c r="O61" s="14">
        <f>+M61+N61</f>
        <v>47196.692041023212</v>
      </c>
      <c r="P61" s="33"/>
      <c r="Q61" s="135">
        <f>(+O61/D61)*(1+CALC!$A$3)</f>
        <v>1887.8676816409286</v>
      </c>
    </row>
    <row r="62" spans="1:17" x14ac:dyDescent="0.2">
      <c r="Q62" s="21"/>
    </row>
    <row r="63" spans="1:17" s="18" customFormat="1" ht="12" thickBot="1" x14ac:dyDescent="0.25">
      <c r="A63" s="35"/>
      <c r="B63" s="35"/>
      <c r="C63" s="39"/>
      <c r="D63" s="40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51"/>
    </row>
    <row r="64" spans="1:17" ht="12" thickBot="1" x14ac:dyDescent="0.25">
      <c r="A64" s="330" t="s">
        <v>10</v>
      </c>
      <c r="B64" s="331" t="s">
        <v>485</v>
      </c>
      <c r="D64" s="568" t="s">
        <v>273</v>
      </c>
      <c r="E64" s="569"/>
      <c r="F64" s="570"/>
      <c r="Q64" s="21"/>
    </row>
    <row r="65" spans="1:17" x14ac:dyDescent="0.2">
      <c r="Q65" s="21"/>
    </row>
    <row r="66" spans="1:17" s="9" customFormat="1" x14ac:dyDescent="0.2">
      <c r="A66" s="321" t="str">
        <f>+'1-10'!C75</f>
        <v>NISSAN  UD40 - CHERRY PICKER [173]</v>
      </c>
      <c r="B66" s="134" t="str">
        <f>+'1-10'!R75</f>
        <v>CNF 628 L</v>
      </c>
      <c r="C66" s="54">
        <v>674</v>
      </c>
      <c r="D66" s="46">
        <v>8000</v>
      </c>
      <c r="E66" s="62">
        <f>+D66/P66*(CALC!$A$4)</f>
        <v>85333.333333333328</v>
      </c>
      <c r="F66" s="37">
        <v>3000</v>
      </c>
      <c r="G66" s="37">
        <f>5800*(1+CALC!$A$2)</f>
        <v>4205</v>
      </c>
      <c r="H66" s="37">
        <v>50000</v>
      </c>
      <c r="I66" s="37">
        <v>26594.17</v>
      </c>
      <c r="J66" s="37"/>
      <c r="K66" s="37">
        <v>2400</v>
      </c>
      <c r="L66" s="37"/>
      <c r="M66" s="37">
        <f>SUM(E66:L66)</f>
        <v>171532.5033333333</v>
      </c>
      <c r="N66" s="32">
        <f>M66/CALC!$A$8*CALC!$A$6</f>
        <v>6527.6075671886247</v>
      </c>
      <c r="O66" s="37">
        <f>+M66+N66</f>
        <v>178060.11090052192</v>
      </c>
      <c r="P66" s="48">
        <v>1.5</v>
      </c>
      <c r="Q66" s="49"/>
    </row>
    <row r="67" spans="1:17" s="9" customFormat="1" x14ac:dyDescent="0.2">
      <c r="A67" s="321" t="str">
        <f>+'1-10'!C76</f>
        <v>NISSAN  UD40 - CHERRY PICKER [173]</v>
      </c>
      <c r="B67" s="134" t="str">
        <f>+'1-10'!R76</f>
        <v>CNF 616 L</v>
      </c>
      <c r="C67" s="54">
        <v>675</v>
      </c>
      <c r="D67" s="46">
        <v>8000</v>
      </c>
      <c r="E67" s="62">
        <f>+D67/P67*(CALC!$A$4)</f>
        <v>85333.333333333328</v>
      </c>
      <c r="F67" s="37">
        <v>3000</v>
      </c>
      <c r="G67" s="37">
        <f>5800*(1+CALC!$A$2)</f>
        <v>4205</v>
      </c>
      <c r="H67" s="37">
        <v>50000</v>
      </c>
      <c r="I67" s="37">
        <v>26594.17</v>
      </c>
      <c r="J67" s="37"/>
      <c r="K67" s="37">
        <v>2400</v>
      </c>
      <c r="L67" s="37"/>
      <c r="M67" s="37">
        <f>SUM(E67:L67)</f>
        <v>171532.5033333333</v>
      </c>
      <c r="N67" s="32">
        <f>M67/CALC!$A$8*CALC!$A$6</f>
        <v>6527.6075671886247</v>
      </c>
      <c r="O67" s="37">
        <f>+M67+N67</f>
        <v>178060.11090052192</v>
      </c>
      <c r="P67" s="48">
        <v>1.5</v>
      </c>
      <c r="Q67" s="49"/>
    </row>
    <row r="68" spans="1:17" x14ac:dyDescent="0.2">
      <c r="A68" s="53"/>
      <c r="B68" s="12"/>
      <c r="C68" s="19"/>
      <c r="D68" s="8"/>
      <c r="E68" s="30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31"/>
      <c r="Q68" s="21"/>
    </row>
    <row r="69" spans="1:17" s="18" customFormat="1" x14ac:dyDescent="0.2">
      <c r="A69" s="4"/>
      <c r="B69" s="4" t="s">
        <v>14</v>
      </c>
      <c r="C69" s="26"/>
      <c r="D69" s="16">
        <f t="shared" ref="D69:M69" si="11">SUM(D66:D68)</f>
        <v>16000</v>
      </c>
      <c r="E69" s="14">
        <f>SUM(E66:E68)</f>
        <v>170666.66666666666</v>
      </c>
      <c r="F69" s="14">
        <f t="shared" si="11"/>
        <v>6000</v>
      </c>
      <c r="G69" s="14">
        <f t="shared" si="11"/>
        <v>8410</v>
      </c>
      <c r="H69" s="14">
        <f t="shared" si="11"/>
        <v>100000</v>
      </c>
      <c r="I69" s="14">
        <f t="shared" si="11"/>
        <v>53188.34</v>
      </c>
      <c r="J69" s="14">
        <f t="shared" si="11"/>
        <v>0</v>
      </c>
      <c r="K69" s="14">
        <f t="shared" si="11"/>
        <v>4800</v>
      </c>
      <c r="L69" s="14">
        <f t="shared" si="11"/>
        <v>0</v>
      </c>
      <c r="M69" s="14">
        <f t="shared" si="11"/>
        <v>343065.0066666666</v>
      </c>
      <c r="N69" s="14">
        <f>M69/CALC!$A$8*CALC!$A$6</f>
        <v>13055.215134377249</v>
      </c>
      <c r="O69" s="14">
        <f>+M69+N69</f>
        <v>356120.22180104384</v>
      </c>
      <c r="P69" s="33"/>
      <c r="Q69" s="135">
        <f>(+O69/D69)*(1+CALC!$A$3)</f>
        <v>22.25751386256524</v>
      </c>
    </row>
    <row r="70" spans="1:17" ht="12" thickBot="1" x14ac:dyDescent="0.25">
      <c r="D70" s="23"/>
      <c r="Q70" s="21"/>
    </row>
    <row r="71" spans="1:17" ht="12" thickBot="1" x14ac:dyDescent="0.25">
      <c r="A71" s="330" t="s">
        <v>10</v>
      </c>
      <c r="B71" s="331" t="s">
        <v>486</v>
      </c>
      <c r="D71" s="568" t="s">
        <v>280</v>
      </c>
      <c r="E71" s="569"/>
      <c r="F71" s="570"/>
      <c r="Q71" s="21"/>
    </row>
    <row r="72" spans="1:17" x14ac:dyDescent="0.2">
      <c r="E72" s="9"/>
      <c r="F72" s="9"/>
      <c r="Q72" s="21"/>
    </row>
    <row r="73" spans="1:17" s="9" customFormat="1" x14ac:dyDescent="0.2">
      <c r="A73" s="61" t="str">
        <f>+'1-10'!C83</f>
        <v>NISSAN  UD 80 C H07 [173] CRANE</v>
      </c>
      <c r="B73" s="134" t="str">
        <f>+'1-10'!R83</f>
        <v>CMN 100 L</v>
      </c>
      <c r="C73" s="54">
        <v>682</v>
      </c>
      <c r="D73" s="46">
        <v>8000</v>
      </c>
      <c r="E73" s="62">
        <f>+D73/P73*(CALC!$A$4)</f>
        <v>85333.333333333328</v>
      </c>
      <c r="F73" s="37">
        <v>3000</v>
      </c>
      <c r="G73" s="37">
        <f>1800*(1+CALC!$A$2)</f>
        <v>1305</v>
      </c>
      <c r="H73" s="37">
        <f>95000</f>
        <v>95000</v>
      </c>
      <c r="I73" s="37">
        <v>57196.25</v>
      </c>
      <c r="J73" s="37"/>
      <c r="K73" s="37">
        <v>10200</v>
      </c>
      <c r="L73" s="37"/>
      <c r="M73" s="37">
        <f>SUM(E73:L73)</f>
        <v>252034.58333333331</v>
      </c>
      <c r="N73" s="32">
        <f>M73/CALC!$A$8*CALC!$A$6</f>
        <v>9591.0851960393211</v>
      </c>
      <c r="O73" s="37">
        <f>+M73+N73</f>
        <v>261625.66852937263</v>
      </c>
      <c r="P73" s="48">
        <v>1.5</v>
      </c>
      <c r="Q73" s="49"/>
    </row>
    <row r="74" spans="1:17" s="9" customFormat="1" x14ac:dyDescent="0.2">
      <c r="A74" s="61" t="str">
        <f>+'1-10'!C85</f>
        <v>NISSAN  UD 80 C H07 [173] CRANE</v>
      </c>
      <c r="B74" s="134" t="str">
        <f>+'1-10'!R85</f>
        <v>CNF 598 L</v>
      </c>
      <c r="C74" s="54">
        <v>684</v>
      </c>
      <c r="D74" s="46">
        <v>8000</v>
      </c>
      <c r="E74" s="62">
        <f>+D74/P74*(CALC!$A$4)</f>
        <v>85333.333333333328</v>
      </c>
      <c r="F74" s="37">
        <v>3000</v>
      </c>
      <c r="G74" s="37">
        <f>2500*(1+CALC!$A$2)</f>
        <v>1812.5</v>
      </c>
      <c r="H74" s="37">
        <f>95000</f>
        <v>95000</v>
      </c>
      <c r="I74" s="37">
        <v>61654.92</v>
      </c>
      <c r="J74" s="37"/>
      <c r="K74" s="37">
        <v>10200</v>
      </c>
      <c r="L74" s="37"/>
      <c r="M74" s="37">
        <f>SUM(E74:L74)</f>
        <v>257000.7533333333</v>
      </c>
      <c r="N74" s="32">
        <f>M74/CALC!$A$8*CALC!$A$6</f>
        <v>9780.0710048043784</v>
      </c>
      <c r="O74" s="37">
        <f>+M74+N74</f>
        <v>266780.8243381377</v>
      </c>
      <c r="P74" s="48">
        <v>1.5</v>
      </c>
      <c r="Q74" s="49"/>
    </row>
    <row r="75" spans="1:17" x14ac:dyDescent="0.2">
      <c r="A75" s="12"/>
      <c r="B75" s="12"/>
      <c r="C75" s="19"/>
      <c r="D75" s="8"/>
      <c r="E75" s="30"/>
      <c r="F75" s="13"/>
      <c r="G75" s="13"/>
      <c r="H75" s="13"/>
      <c r="I75" s="13"/>
      <c r="J75" s="13"/>
      <c r="K75" s="13"/>
      <c r="L75" s="13"/>
      <c r="M75" s="13"/>
      <c r="N75" s="13"/>
      <c r="O75" s="13">
        <f>+M75+N75</f>
        <v>0</v>
      </c>
      <c r="P75" s="31"/>
      <c r="Q75" s="21"/>
    </row>
    <row r="76" spans="1:17" s="18" customFormat="1" x14ac:dyDescent="0.2">
      <c r="A76" s="4"/>
      <c r="B76" s="4" t="s">
        <v>14</v>
      </c>
      <c r="C76" s="26"/>
      <c r="D76" s="16">
        <f t="shared" ref="D76:M76" si="12">SUM(D73:D75)</f>
        <v>16000</v>
      </c>
      <c r="E76" s="14">
        <f t="shared" si="12"/>
        <v>170666.66666666666</v>
      </c>
      <c r="F76" s="14">
        <f t="shared" si="12"/>
        <v>6000</v>
      </c>
      <c r="G76" s="14">
        <f t="shared" si="12"/>
        <v>3117.5</v>
      </c>
      <c r="H76" s="14">
        <f t="shared" si="12"/>
        <v>190000</v>
      </c>
      <c r="I76" s="14">
        <f t="shared" si="12"/>
        <v>118851.17</v>
      </c>
      <c r="J76" s="14">
        <f t="shared" si="12"/>
        <v>0</v>
      </c>
      <c r="K76" s="14">
        <f t="shared" si="12"/>
        <v>20400</v>
      </c>
      <c r="L76" s="14">
        <f t="shared" si="12"/>
        <v>0</v>
      </c>
      <c r="M76" s="14">
        <f t="shared" si="12"/>
        <v>509035.33666666661</v>
      </c>
      <c r="N76" s="14">
        <f>M76/CALC!$A$8*CALC!$A$6</f>
        <v>19371.156200843699</v>
      </c>
      <c r="O76" s="14">
        <f>+M76+N76</f>
        <v>528406.4928675103</v>
      </c>
      <c r="P76" s="33"/>
      <c r="Q76" s="135">
        <f>(+O76/D76)*(1+CALC!$A$3)</f>
        <v>33.025405804219396</v>
      </c>
    </row>
    <row r="77" spans="1:17" s="18" customFormat="1" ht="12" thickBot="1" x14ac:dyDescent="0.25">
      <c r="A77" s="35"/>
      <c r="B77" s="35"/>
      <c r="C77" s="39"/>
      <c r="D77" s="40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51"/>
    </row>
    <row r="78" spans="1:17" ht="12" thickBot="1" x14ac:dyDescent="0.25">
      <c r="A78" s="330" t="s">
        <v>10</v>
      </c>
      <c r="B78" s="331" t="s">
        <v>487</v>
      </c>
      <c r="D78" s="568" t="s">
        <v>453</v>
      </c>
      <c r="E78" s="569"/>
      <c r="F78" s="570"/>
      <c r="Q78" s="21"/>
    </row>
    <row r="79" spans="1:17" ht="12" thickBot="1" x14ac:dyDescent="0.25">
      <c r="Q79" s="21"/>
    </row>
    <row r="80" spans="1:17" s="9" customFormat="1" ht="12" thickBot="1" x14ac:dyDescent="0.25">
      <c r="A80" s="322" t="str">
        <f>+'1-10'!C100</f>
        <v xml:space="preserve">NISSAN  UD 330WF T27 CRANE TRUCK </v>
      </c>
      <c r="B80" s="286" t="str">
        <f>+'1-10'!R100</f>
        <v>CMS 088 L</v>
      </c>
      <c r="C80" s="287" t="s">
        <v>464</v>
      </c>
      <c r="D80" s="46">
        <v>10000</v>
      </c>
      <c r="E80" s="62">
        <f>+D80/P80*(CALC!$A$4)</f>
        <v>123076.92307692308</v>
      </c>
      <c r="F80" s="37">
        <v>3000</v>
      </c>
      <c r="G80" s="37">
        <f>8500*(1+CALC!$A$2)</f>
        <v>6162.5</v>
      </c>
      <c r="H80" s="37">
        <f>140000</f>
        <v>140000</v>
      </c>
      <c r="I80" s="37">
        <v>97340.31</v>
      </c>
      <c r="J80" s="37"/>
      <c r="K80" s="37">
        <v>39000</v>
      </c>
      <c r="L80" s="37"/>
      <c r="M80" s="37">
        <f>SUM(E80:L80)</f>
        <v>408579.73307692306</v>
      </c>
      <c r="N80" s="32">
        <f>M80/CALC!$A$8*CALC!$A$6</f>
        <v>15548.354426158214</v>
      </c>
      <c r="O80" s="37">
        <f>+M80+N80</f>
        <v>424128.0875030813</v>
      </c>
      <c r="P80" s="48">
        <v>1.3</v>
      </c>
      <c r="Q80" s="49"/>
    </row>
    <row r="81" spans="1:17" x14ac:dyDescent="0.2">
      <c r="A81" s="12"/>
      <c r="B81" s="12"/>
      <c r="C81" s="19"/>
      <c r="D81" s="8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31"/>
      <c r="Q81" s="21"/>
    </row>
    <row r="82" spans="1:17" s="18" customFormat="1" x14ac:dyDescent="0.2">
      <c r="A82" s="35"/>
      <c r="B82" s="4" t="s">
        <v>14</v>
      </c>
      <c r="C82" s="26"/>
      <c r="D82" s="16">
        <f>SUM(D80:D81)</f>
        <v>10000</v>
      </c>
      <c r="E82" s="14">
        <f>SUM(E80:E81)</f>
        <v>123076.92307692308</v>
      </c>
      <c r="F82" s="14">
        <f t="shared" ref="F82:K82" si="13">SUM(F80:F81)</f>
        <v>3000</v>
      </c>
      <c r="G82" s="14">
        <f t="shared" si="13"/>
        <v>6162.5</v>
      </c>
      <c r="H82" s="14">
        <f t="shared" si="13"/>
        <v>140000</v>
      </c>
      <c r="I82" s="14">
        <f t="shared" si="13"/>
        <v>97340.31</v>
      </c>
      <c r="J82" s="14">
        <f t="shared" si="13"/>
        <v>0</v>
      </c>
      <c r="K82" s="14">
        <f t="shared" si="13"/>
        <v>39000</v>
      </c>
      <c r="L82" s="14">
        <f>+L80</f>
        <v>0</v>
      </c>
      <c r="M82" s="14">
        <f>SUM(M80:M81)</f>
        <v>408579.73307692306</v>
      </c>
      <c r="N82" s="14">
        <f>M82/CALC!$A$8*CALC!$A$6</f>
        <v>15548.354426158214</v>
      </c>
      <c r="O82" s="14">
        <f>+M82+N82</f>
        <v>424128.0875030813</v>
      </c>
      <c r="P82" s="33"/>
      <c r="Q82" s="135">
        <f>(+O82/D82)*(1+CALC!$A$3)</f>
        <v>42.41280875030813</v>
      </c>
    </row>
    <row r="83" spans="1:17" s="18" customFormat="1" ht="12" thickBot="1" x14ac:dyDescent="0.25">
      <c r="A83" s="35"/>
      <c r="B83" s="35"/>
      <c r="C83" s="39"/>
      <c r="D83" s="40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51"/>
    </row>
    <row r="84" spans="1:17" ht="12" thickBot="1" x14ac:dyDescent="0.25">
      <c r="A84" s="330" t="s">
        <v>10</v>
      </c>
      <c r="B84" s="331" t="s">
        <v>149</v>
      </c>
      <c r="D84" s="568" t="s">
        <v>15</v>
      </c>
      <c r="E84" s="569"/>
      <c r="F84" s="570"/>
      <c r="Q84" s="21"/>
    </row>
    <row r="85" spans="1:17" x14ac:dyDescent="0.2">
      <c r="Q85" s="21"/>
    </row>
    <row r="86" spans="1:17" s="549" customFormat="1" x14ac:dyDescent="0.2">
      <c r="A86" s="542" t="s">
        <v>16</v>
      </c>
      <c r="B86" s="542" t="s">
        <v>49</v>
      </c>
      <c r="C86" s="384">
        <v>56</v>
      </c>
      <c r="D86" s="543"/>
      <c r="E86" s="550"/>
      <c r="F86" s="545"/>
      <c r="G86" s="545">
        <f>710*(1+CALC!$A$2)</f>
        <v>514.75</v>
      </c>
      <c r="H86" s="545">
        <f>5000*(1+CALC!$A$2)</f>
        <v>3625</v>
      </c>
      <c r="I86" s="545"/>
      <c r="J86" s="545"/>
      <c r="K86" s="545">
        <v>468</v>
      </c>
      <c r="L86" s="545"/>
      <c r="M86" s="545">
        <f>SUM(E86:L86)</f>
        <v>4607.75</v>
      </c>
      <c r="N86" s="546">
        <f>M86/CALC!$A$8*CALC!$A$6</f>
        <v>175.34626489572435</v>
      </c>
      <c r="O86" s="545">
        <f>+M86+N86</f>
        <v>4783.0962648957247</v>
      </c>
      <c r="P86" s="551"/>
      <c r="Q86" s="548"/>
    </row>
    <row r="87" spans="1:17" s="549" customFormat="1" x14ac:dyDescent="0.2">
      <c r="A87" s="542" t="s">
        <v>16</v>
      </c>
      <c r="B87" s="542" t="s">
        <v>50</v>
      </c>
      <c r="C87" s="384">
        <v>57</v>
      </c>
      <c r="D87" s="543"/>
      <c r="E87" s="550"/>
      <c r="F87" s="545"/>
      <c r="G87" s="545">
        <f>710*(1+CALC!$A$2)</f>
        <v>514.75</v>
      </c>
      <c r="H87" s="545">
        <f>5000*(1+CALC!$A$2)</f>
        <v>3625</v>
      </c>
      <c r="I87" s="545"/>
      <c r="J87" s="545"/>
      <c r="K87" s="545">
        <v>468</v>
      </c>
      <c r="L87" s="545"/>
      <c r="M87" s="545">
        <f t="shared" ref="M87:M92" si="14">SUM(E87:L87)</f>
        <v>4607.75</v>
      </c>
      <c r="N87" s="546">
        <f>M87/CALC!$A$8*CALC!$A$6</f>
        <v>175.34626489572435</v>
      </c>
      <c r="O87" s="545">
        <f t="shared" ref="O87:O92" si="15">+M87+N87</f>
        <v>4783.0962648957247</v>
      </c>
      <c r="P87" s="551"/>
      <c r="Q87" s="548"/>
    </row>
    <row r="88" spans="1:17" s="549" customFormat="1" x14ac:dyDescent="0.2">
      <c r="A88" s="542" t="s">
        <v>38</v>
      </c>
      <c r="B88" s="542" t="s">
        <v>51</v>
      </c>
      <c r="C88" s="384">
        <v>58</v>
      </c>
      <c r="D88" s="543"/>
      <c r="E88" s="550"/>
      <c r="F88" s="545"/>
      <c r="G88" s="545">
        <f>710*(1+CALC!$A$2)</f>
        <v>514.75</v>
      </c>
      <c r="H88" s="545">
        <f>5000*(1+CALC!$A$2)</f>
        <v>3625</v>
      </c>
      <c r="I88" s="545"/>
      <c r="J88" s="545"/>
      <c r="K88" s="545">
        <v>468</v>
      </c>
      <c r="L88" s="545"/>
      <c r="M88" s="545">
        <f t="shared" si="14"/>
        <v>4607.75</v>
      </c>
      <c r="N88" s="546">
        <f>M88/CALC!$A$8*CALC!$A$6</f>
        <v>175.34626489572435</v>
      </c>
      <c r="O88" s="545">
        <f t="shared" si="15"/>
        <v>4783.0962648957247</v>
      </c>
      <c r="P88" s="551"/>
      <c r="Q88" s="548"/>
    </row>
    <row r="89" spans="1:17" s="549" customFormat="1" x14ac:dyDescent="0.2">
      <c r="A89" s="542" t="s">
        <v>56</v>
      </c>
      <c r="B89" s="542" t="s">
        <v>52</v>
      </c>
      <c r="C89" s="384">
        <v>59</v>
      </c>
      <c r="D89" s="543"/>
      <c r="E89" s="550"/>
      <c r="F89" s="545"/>
      <c r="G89" s="545">
        <f>710*(1+CALC!$A$2)</f>
        <v>514.75</v>
      </c>
      <c r="H89" s="545">
        <f>5000*(1+CALC!$A$2)</f>
        <v>3625</v>
      </c>
      <c r="I89" s="545"/>
      <c r="J89" s="545"/>
      <c r="K89" s="545">
        <v>468</v>
      </c>
      <c r="L89" s="545"/>
      <c r="M89" s="545">
        <f t="shared" si="14"/>
        <v>4607.75</v>
      </c>
      <c r="N89" s="546">
        <f>M89/CALC!$A$8*CALC!$A$6</f>
        <v>175.34626489572435</v>
      </c>
      <c r="O89" s="545">
        <f t="shared" si="15"/>
        <v>4783.0962648957247</v>
      </c>
      <c r="P89" s="551"/>
      <c r="Q89" s="548"/>
    </row>
    <row r="90" spans="1:17" s="549" customFormat="1" x14ac:dyDescent="0.2">
      <c r="A90" s="542" t="s">
        <v>57</v>
      </c>
      <c r="B90" s="542" t="s">
        <v>53</v>
      </c>
      <c r="C90" s="384">
        <v>60</v>
      </c>
      <c r="D90" s="543"/>
      <c r="E90" s="550"/>
      <c r="F90" s="545"/>
      <c r="G90" s="545">
        <f>710*(1+CALC!$A$2)</f>
        <v>514.75</v>
      </c>
      <c r="H90" s="545">
        <f>5000*(1+CALC!$A$2)</f>
        <v>3625</v>
      </c>
      <c r="I90" s="545"/>
      <c r="J90" s="545"/>
      <c r="K90" s="545">
        <v>468</v>
      </c>
      <c r="L90" s="545"/>
      <c r="M90" s="545">
        <f t="shared" si="14"/>
        <v>4607.75</v>
      </c>
      <c r="N90" s="546">
        <f>M90/CALC!$A$8*CALC!$A$6</f>
        <v>175.34626489572435</v>
      </c>
      <c r="O90" s="545">
        <f t="shared" si="15"/>
        <v>4783.0962648957247</v>
      </c>
      <c r="P90" s="551"/>
      <c r="Q90" s="548"/>
    </row>
    <row r="91" spans="1:17" s="549" customFormat="1" x14ac:dyDescent="0.2">
      <c r="A91" s="542" t="s">
        <v>58</v>
      </c>
      <c r="B91" s="542" t="s">
        <v>54</v>
      </c>
      <c r="C91" s="384">
        <v>171</v>
      </c>
      <c r="D91" s="543"/>
      <c r="E91" s="550"/>
      <c r="F91" s="545"/>
      <c r="G91" s="545"/>
      <c r="H91" s="545"/>
      <c r="I91" s="545"/>
      <c r="J91" s="545"/>
      <c r="K91" s="545"/>
      <c r="L91" s="545"/>
      <c r="M91" s="545">
        <f t="shared" si="14"/>
        <v>0</v>
      </c>
      <c r="N91" s="546">
        <f>M91/CALC!$A$8*CALC!$A$6</f>
        <v>0</v>
      </c>
      <c r="O91" s="545">
        <f t="shared" si="15"/>
        <v>0</v>
      </c>
      <c r="P91" s="551"/>
      <c r="Q91" s="548"/>
    </row>
    <row r="92" spans="1:17" s="549" customFormat="1" x14ac:dyDescent="0.2">
      <c r="A92" s="542" t="s">
        <v>59</v>
      </c>
      <c r="B92" s="542" t="s">
        <v>55</v>
      </c>
      <c r="C92" s="384">
        <v>172</v>
      </c>
      <c r="D92" s="543"/>
      <c r="E92" s="550"/>
      <c r="F92" s="545"/>
      <c r="G92" s="545">
        <f>710*(1+CALC!$A$2)</f>
        <v>514.75</v>
      </c>
      <c r="H92" s="545">
        <f>5000*(1+CALC!$A$2)</f>
        <v>3625</v>
      </c>
      <c r="I92" s="545">
        <v>0</v>
      </c>
      <c r="J92" s="545"/>
      <c r="K92" s="545">
        <v>468</v>
      </c>
      <c r="L92" s="545"/>
      <c r="M92" s="545">
        <f t="shared" si="14"/>
        <v>4607.75</v>
      </c>
      <c r="N92" s="546">
        <f>M92/CALC!$A$8*CALC!$A$6</f>
        <v>175.34626489572435</v>
      </c>
      <c r="O92" s="545">
        <f t="shared" si="15"/>
        <v>4783.0962648957247</v>
      </c>
      <c r="P92" s="551"/>
      <c r="Q92" s="548"/>
    </row>
    <row r="93" spans="1:17" x14ac:dyDescent="0.2">
      <c r="A93" s="12"/>
      <c r="B93" s="12"/>
      <c r="C93" s="19"/>
      <c r="D93" s="8"/>
      <c r="E93" s="30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20"/>
      <c r="Q93" s="21"/>
    </row>
    <row r="94" spans="1:17" s="18" customFormat="1" x14ac:dyDescent="0.2">
      <c r="A94" s="4"/>
      <c r="B94" s="4" t="s">
        <v>14</v>
      </c>
      <c r="C94" s="26"/>
      <c r="D94" s="16"/>
      <c r="E94" s="14"/>
      <c r="F94" s="14">
        <f t="shared" ref="F94:M94" si="16">SUM(F86:F93)</f>
        <v>0</v>
      </c>
      <c r="G94" s="14">
        <f t="shared" si="16"/>
        <v>3088.5</v>
      </c>
      <c r="H94" s="14">
        <f t="shared" si="16"/>
        <v>21750</v>
      </c>
      <c r="I94" s="14">
        <f t="shared" si="16"/>
        <v>0</v>
      </c>
      <c r="J94" s="14">
        <f t="shared" si="16"/>
        <v>0</v>
      </c>
      <c r="K94" s="14">
        <f t="shared" si="16"/>
        <v>2808</v>
      </c>
      <c r="L94" s="14"/>
      <c r="M94" s="14">
        <f t="shared" si="16"/>
        <v>27646.5</v>
      </c>
      <c r="N94" s="14">
        <f>M94/CALC!$A$8*CALC!$A$6</f>
        <v>1052.0775893743462</v>
      </c>
      <c r="O94" s="14">
        <f>+M94+N94</f>
        <v>28698.577589374345</v>
      </c>
      <c r="P94" s="41"/>
      <c r="Q94" s="36"/>
    </row>
    <row r="95" spans="1:17" x14ac:dyDescent="0.2">
      <c r="Q95" s="21"/>
    </row>
    <row r="96" spans="1:17" ht="12" thickBot="1" x14ac:dyDescent="0.25">
      <c r="Q96" s="21"/>
    </row>
    <row r="97" spans="1:18" s="18" customFormat="1" ht="12" thickBot="1" x14ac:dyDescent="0.25">
      <c r="A97" s="18" t="s">
        <v>104</v>
      </c>
      <c r="B97" s="73" t="s">
        <v>14</v>
      </c>
      <c r="C97" s="74"/>
      <c r="D97" s="75">
        <f t="shared" ref="D97:P97" si="17">+D9+D24+D48+D54+D61+D69+D76+D94+D82</f>
        <v>703035</v>
      </c>
      <c r="E97" s="76">
        <f t="shared" si="17"/>
        <v>2500843.1638289341</v>
      </c>
      <c r="F97" s="76">
        <f t="shared" si="17"/>
        <v>111000</v>
      </c>
      <c r="G97" s="76">
        <f t="shared" si="17"/>
        <v>149453.51550000001</v>
      </c>
      <c r="H97" s="76">
        <f t="shared" si="17"/>
        <v>1548425</v>
      </c>
      <c r="I97" s="76">
        <f t="shared" si="17"/>
        <v>1392746.53</v>
      </c>
      <c r="J97" s="76">
        <f t="shared" si="17"/>
        <v>0</v>
      </c>
      <c r="K97" s="76">
        <f t="shared" si="17"/>
        <v>115476</v>
      </c>
      <c r="L97" s="76">
        <f t="shared" si="17"/>
        <v>0</v>
      </c>
      <c r="M97" s="76">
        <f t="shared" si="17"/>
        <v>5817944.2093289346</v>
      </c>
      <c r="N97" s="76">
        <f t="shared" si="17"/>
        <v>221399.76918833205</v>
      </c>
      <c r="O97" s="76">
        <f t="shared" si="17"/>
        <v>6039343.978517266</v>
      </c>
      <c r="P97" s="76">
        <f t="shared" si="17"/>
        <v>0</v>
      </c>
      <c r="Q97" s="34"/>
      <c r="R97" s="45"/>
    </row>
    <row r="98" spans="1:18" x14ac:dyDescent="0.2">
      <c r="Q98" s="21"/>
    </row>
    <row r="99" spans="1:18" x14ac:dyDescent="0.2">
      <c r="Q99" s="21"/>
    </row>
    <row r="100" spans="1:18" x14ac:dyDescent="0.2">
      <c r="D100" s="17">
        <f>+D9+D24+D48+D54+D61+D69+D76+D82</f>
        <v>703035</v>
      </c>
      <c r="E100" s="17">
        <f>+E9+E24+E48+E54+E61+E69+E76+E82</f>
        <v>2500843.1638289341</v>
      </c>
      <c r="F100" s="17">
        <f>+F54+F61+F94</f>
        <v>6000</v>
      </c>
      <c r="G100" s="17">
        <f t="shared" ref="G100:O100" si="18">+G9+G24+G48+G54+G61+G69+G76+G82+G94</f>
        <v>149453.51550000001</v>
      </c>
      <c r="H100" s="17">
        <f t="shared" si="18"/>
        <v>1548425</v>
      </c>
      <c r="I100" s="17">
        <f t="shared" si="18"/>
        <v>1392746.53</v>
      </c>
      <c r="J100" s="17">
        <f t="shared" si="18"/>
        <v>0</v>
      </c>
      <c r="K100" s="17">
        <f t="shared" si="18"/>
        <v>115476</v>
      </c>
      <c r="L100" s="17">
        <f t="shared" si="18"/>
        <v>0</v>
      </c>
      <c r="M100" s="17">
        <f t="shared" si="18"/>
        <v>5817944.2093289346</v>
      </c>
      <c r="N100" s="17">
        <f t="shared" si="18"/>
        <v>221399.76918833205</v>
      </c>
      <c r="O100" s="17">
        <f t="shared" si="18"/>
        <v>6039343.978517266</v>
      </c>
      <c r="Q100" s="21"/>
    </row>
    <row r="101" spans="1:18" x14ac:dyDescent="0.2">
      <c r="Q101" s="21"/>
    </row>
    <row r="102" spans="1:18" x14ac:dyDescent="0.2">
      <c r="Q102" s="21"/>
    </row>
    <row r="103" spans="1:18" x14ac:dyDescent="0.2">
      <c r="Q103" s="21"/>
    </row>
    <row r="104" spans="1:18" x14ac:dyDescent="0.2">
      <c r="Q104" s="21"/>
    </row>
    <row r="105" spans="1:18" x14ac:dyDescent="0.2">
      <c r="Q105" s="21"/>
    </row>
    <row r="106" spans="1:18" x14ac:dyDescent="0.2">
      <c r="Q106" s="21"/>
    </row>
    <row r="107" spans="1:18" x14ac:dyDescent="0.2">
      <c r="Q107" s="21"/>
    </row>
    <row r="108" spans="1:18" x14ac:dyDescent="0.2">
      <c r="Q108" s="21"/>
    </row>
    <row r="109" spans="1:18" x14ac:dyDescent="0.2">
      <c r="Q109" s="21"/>
    </row>
    <row r="110" spans="1:18" x14ac:dyDescent="0.2">
      <c r="Q110" s="21"/>
    </row>
    <row r="111" spans="1:18" x14ac:dyDescent="0.2">
      <c r="Q111" s="21"/>
    </row>
    <row r="112" spans="1:18" x14ac:dyDescent="0.2">
      <c r="Q112" s="21"/>
    </row>
    <row r="113" spans="17:17" x14ac:dyDescent="0.2">
      <c r="Q113" s="21"/>
    </row>
    <row r="114" spans="17:17" x14ac:dyDescent="0.2">
      <c r="Q114" s="21"/>
    </row>
    <row r="115" spans="17:17" x14ac:dyDescent="0.2">
      <c r="Q115" s="21"/>
    </row>
    <row r="116" spans="17:17" x14ac:dyDescent="0.2">
      <c r="Q116" s="21"/>
    </row>
    <row r="117" spans="17:17" x14ac:dyDescent="0.2">
      <c r="Q117" s="21"/>
    </row>
    <row r="118" spans="17:17" x14ac:dyDescent="0.2">
      <c r="Q118" s="21"/>
    </row>
    <row r="119" spans="17:17" x14ac:dyDescent="0.2">
      <c r="Q119" s="21"/>
    </row>
    <row r="120" spans="17:17" x14ac:dyDescent="0.2">
      <c r="Q120" s="21"/>
    </row>
    <row r="121" spans="17:17" x14ac:dyDescent="0.2">
      <c r="Q121" s="21"/>
    </row>
    <row r="122" spans="17:17" x14ac:dyDescent="0.2">
      <c r="Q122" s="21"/>
    </row>
    <row r="123" spans="17:17" x14ac:dyDescent="0.2">
      <c r="Q123" s="21"/>
    </row>
    <row r="124" spans="17:17" x14ac:dyDescent="0.2">
      <c r="Q124" s="21"/>
    </row>
    <row r="125" spans="17:17" x14ac:dyDescent="0.2">
      <c r="Q125" s="21"/>
    </row>
    <row r="126" spans="17:17" x14ac:dyDescent="0.2">
      <c r="Q126" s="21"/>
    </row>
    <row r="127" spans="17:17" x14ac:dyDescent="0.2">
      <c r="Q127" s="21"/>
    </row>
    <row r="128" spans="17:17" x14ac:dyDescent="0.2">
      <c r="Q128" s="21"/>
    </row>
    <row r="129" spans="6:17" x14ac:dyDescent="0.2">
      <c r="Q129" s="21"/>
    </row>
    <row r="130" spans="6:17" x14ac:dyDescent="0.2">
      <c r="Q130" s="21"/>
    </row>
    <row r="131" spans="6:17" x14ac:dyDescent="0.2">
      <c r="Q131" s="21"/>
    </row>
    <row r="132" spans="6:17" x14ac:dyDescent="0.2">
      <c r="Q132" s="21"/>
    </row>
    <row r="133" spans="6:17" x14ac:dyDescent="0.2">
      <c r="Q133" s="21"/>
    </row>
    <row r="134" spans="6:17" x14ac:dyDescent="0.2">
      <c r="Q134" s="21"/>
    </row>
    <row r="135" spans="6:17" x14ac:dyDescent="0.2">
      <c r="Q135" s="21"/>
    </row>
    <row r="136" spans="6:17" x14ac:dyDescent="0.2">
      <c r="Q136" s="21"/>
    </row>
    <row r="137" spans="6:17" x14ac:dyDescent="0.2">
      <c r="Q137" s="21"/>
    </row>
    <row r="138" spans="6:17" x14ac:dyDescent="0.2">
      <c r="Q138" s="21"/>
    </row>
    <row r="139" spans="6:17" x14ac:dyDescent="0.2">
      <c r="Q139" s="21"/>
    </row>
    <row r="140" spans="6:17" x14ac:dyDescent="0.2">
      <c r="Q140" s="21"/>
    </row>
    <row r="141" spans="6:17" x14ac:dyDescent="0.2">
      <c r="Q141" s="21"/>
    </row>
    <row r="142" spans="6:17" x14ac:dyDescent="0.2">
      <c r="Q142" s="21"/>
    </row>
    <row r="143" spans="6:17" x14ac:dyDescent="0.2">
      <c r="F143" s="2">
        <f>SUM(F134:F142)</f>
        <v>0</v>
      </c>
      <c r="Q143" s="21"/>
    </row>
    <row r="144" spans="6:17" x14ac:dyDescent="0.2">
      <c r="Q144" s="21"/>
    </row>
    <row r="145" spans="17:17" x14ac:dyDescent="0.2">
      <c r="Q145" s="21"/>
    </row>
    <row r="146" spans="17:17" x14ac:dyDescent="0.2">
      <c r="Q146" s="21"/>
    </row>
    <row r="147" spans="17:17" x14ac:dyDescent="0.2">
      <c r="Q147" s="21"/>
    </row>
    <row r="148" spans="17:17" x14ac:dyDescent="0.2">
      <c r="Q148" s="21"/>
    </row>
    <row r="149" spans="17:17" x14ac:dyDescent="0.2">
      <c r="Q149" s="21"/>
    </row>
    <row r="150" spans="17:17" x14ac:dyDescent="0.2">
      <c r="Q150" s="21"/>
    </row>
    <row r="151" spans="17:17" x14ac:dyDescent="0.2">
      <c r="Q151" s="21"/>
    </row>
    <row r="152" spans="17:17" x14ac:dyDescent="0.2">
      <c r="Q152" s="21"/>
    </row>
    <row r="153" spans="17:17" x14ac:dyDescent="0.2">
      <c r="Q153" s="21"/>
    </row>
    <row r="154" spans="17:17" x14ac:dyDescent="0.2">
      <c r="Q154" s="21"/>
    </row>
    <row r="155" spans="17:17" x14ac:dyDescent="0.2">
      <c r="Q155" s="21"/>
    </row>
    <row r="156" spans="17:17" x14ac:dyDescent="0.2">
      <c r="Q156" s="21"/>
    </row>
    <row r="157" spans="17:17" x14ac:dyDescent="0.2">
      <c r="Q157" s="21"/>
    </row>
    <row r="158" spans="17:17" x14ac:dyDescent="0.2">
      <c r="Q158" s="21"/>
    </row>
    <row r="159" spans="17:17" x14ac:dyDescent="0.2">
      <c r="Q159" s="21"/>
    </row>
    <row r="160" spans="17:17" x14ac:dyDescent="0.2">
      <c r="Q160" s="21"/>
    </row>
    <row r="161" spans="17:17" x14ac:dyDescent="0.2">
      <c r="Q161" s="21"/>
    </row>
    <row r="162" spans="17:17" x14ac:dyDescent="0.2">
      <c r="Q162" s="21"/>
    </row>
    <row r="163" spans="17:17" x14ac:dyDescent="0.2">
      <c r="Q163" s="21"/>
    </row>
    <row r="164" spans="17:17" x14ac:dyDescent="0.2">
      <c r="Q164" s="21"/>
    </row>
    <row r="165" spans="17:17" x14ac:dyDescent="0.2">
      <c r="Q165" s="21"/>
    </row>
    <row r="166" spans="17:17" x14ac:dyDescent="0.2">
      <c r="Q166" s="21"/>
    </row>
    <row r="167" spans="17:17" x14ac:dyDescent="0.2">
      <c r="Q167" s="21"/>
    </row>
    <row r="168" spans="17:17" x14ac:dyDescent="0.2">
      <c r="Q168" s="21"/>
    </row>
    <row r="169" spans="17:17" x14ac:dyDescent="0.2">
      <c r="Q169" s="21"/>
    </row>
    <row r="170" spans="17:17" x14ac:dyDescent="0.2">
      <c r="Q170" s="21"/>
    </row>
    <row r="171" spans="17:17" x14ac:dyDescent="0.2">
      <c r="Q171" s="21"/>
    </row>
    <row r="172" spans="17:17" x14ac:dyDescent="0.2">
      <c r="Q172" s="21"/>
    </row>
    <row r="173" spans="17:17" x14ac:dyDescent="0.2">
      <c r="Q173" s="21"/>
    </row>
    <row r="174" spans="17:17" x14ac:dyDescent="0.2">
      <c r="Q174" s="21"/>
    </row>
    <row r="175" spans="17:17" x14ac:dyDescent="0.2">
      <c r="Q175" s="21"/>
    </row>
    <row r="176" spans="17:17" x14ac:dyDescent="0.2">
      <c r="Q176" s="21"/>
    </row>
    <row r="177" spans="17:17" x14ac:dyDescent="0.2">
      <c r="Q177" s="21"/>
    </row>
    <row r="178" spans="17:17" x14ac:dyDescent="0.2">
      <c r="Q178" s="21"/>
    </row>
    <row r="179" spans="17:17" x14ac:dyDescent="0.2">
      <c r="Q179" s="21"/>
    </row>
    <row r="180" spans="17:17" x14ac:dyDescent="0.2">
      <c r="Q180" s="21"/>
    </row>
    <row r="181" spans="17:17" x14ac:dyDescent="0.2">
      <c r="Q181" s="21"/>
    </row>
    <row r="182" spans="17:17" x14ac:dyDescent="0.2">
      <c r="Q182" s="21"/>
    </row>
    <row r="183" spans="17:17" x14ac:dyDescent="0.2">
      <c r="Q183" s="21"/>
    </row>
    <row r="184" spans="17:17" x14ac:dyDescent="0.2">
      <c r="Q184" s="21"/>
    </row>
    <row r="185" spans="17:17" x14ac:dyDescent="0.2">
      <c r="Q185" s="21"/>
    </row>
    <row r="186" spans="17:17" x14ac:dyDescent="0.2">
      <c r="Q186" s="21"/>
    </row>
    <row r="187" spans="17:17" x14ac:dyDescent="0.2">
      <c r="Q187" s="21"/>
    </row>
    <row r="188" spans="17:17" x14ac:dyDescent="0.2">
      <c r="Q188" s="21"/>
    </row>
    <row r="189" spans="17:17" x14ac:dyDescent="0.2">
      <c r="Q189" s="21"/>
    </row>
    <row r="190" spans="17:17" x14ac:dyDescent="0.2">
      <c r="Q190" s="21"/>
    </row>
    <row r="191" spans="17:17" x14ac:dyDescent="0.2">
      <c r="Q191" s="21"/>
    </row>
    <row r="192" spans="17:17" x14ac:dyDescent="0.2">
      <c r="Q192" s="21"/>
    </row>
    <row r="193" spans="17:17" x14ac:dyDescent="0.2">
      <c r="Q193" s="21"/>
    </row>
    <row r="194" spans="17:17" x14ac:dyDescent="0.2">
      <c r="Q194" s="21"/>
    </row>
    <row r="195" spans="17:17" x14ac:dyDescent="0.2">
      <c r="Q195" s="21"/>
    </row>
    <row r="196" spans="17:17" x14ac:dyDescent="0.2">
      <c r="Q196" s="21"/>
    </row>
    <row r="197" spans="17:17" x14ac:dyDescent="0.2">
      <c r="Q197" s="21"/>
    </row>
    <row r="198" spans="17:17" x14ac:dyDescent="0.2">
      <c r="Q198" s="21"/>
    </row>
    <row r="199" spans="17:17" x14ac:dyDescent="0.2">
      <c r="Q199" s="21"/>
    </row>
    <row r="200" spans="17:17" x14ac:dyDescent="0.2">
      <c r="Q200" s="21"/>
    </row>
    <row r="201" spans="17:17" x14ac:dyDescent="0.2">
      <c r="Q201" s="21"/>
    </row>
    <row r="202" spans="17:17" x14ac:dyDescent="0.2">
      <c r="Q202" s="21"/>
    </row>
    <row r="203" spans="17:17" x14ac:dyDescent="0.2">
      <c r="Q203" s="21"/>
    </row>
    <row r="204" spans="17:17" x14ac:dyDescent="0.2">
      <c r="Q204" s="21"/>
    </row>
    <row r="205" spans="17:17" x14ac:dyDescent="0.2">
      <c r="Q205" s="21"/>
    </row>
    <row r="206" spans="17:17" x14ac:dyDescent="0.2">
      <c r="Q206" s="21"/>
    </row>
    <row r="207" spans="17:17" x14ac:dyDescent="0.2">
      <c r="Q207" s="21"/>
    </row>
    <row r="208" spans="17:17" x14ac:dyDescent="0.2">
      <c r="Q208" s="21"/>
    </row>
    <row r="209" spans="17:17" x14ac:dyDescent="0.2">
      <c r="Q209" s="21"/>
    </row>
    <row r="210" spans="17:17" x14ac:dyDescent="0.2">
      <c r="Q210" s="21"/>
    </row>
    <row r="211" spans="17:17" x14ac:dyDescent="0.2">
      <c r="Q211" s="21"/>
    </row>
    <row r="212" spans="17:17" x14ac:dyDescent="0.2">
      <c r="Q212" s="21"/>
    </row>
    <row r="213" spans="17:17" x14ac:dyDescent="0.2">
      <c r="Q213" s="21"/>
    </row>
    <row r="214" spans="17:17" x14ac:dyDescent="0.2">
      <c r="Q214" s="21"/>
    </row>
    <row r="215" spans="17:17" x14ac:dyDescent="0.2">
      <c r="Q215" s="21"/>
    </row>
    <row r="216" spans="17:17" x14ac:dyDescent="0.2">
      <c r="Q216" s="21"/>
    </row>
    <row r="217" spans="17:17" x14ac:dyDescent="0.2">
      <c r="Q217" s="21"/>
    </row>
    <row r="218" spans="17:17" x14ac:dyDescent="0.2">
      <c r="Q218" s="21"/>
    </row>
    <row r="219" spans="17:17" x14ac:dyDescent="0.2">
      <c r="Q219" s="21"/>
    </row>
    <row r="220" spans="17:17" x14ac:dyDescent="0.2">
      <c r="Q220" s="21"/>
    </row>
    <row r="221" spans="17:17" x14ac:dyDescent="0.2">
      <c r="Q221" s="21"/>
    </row>
    <row r="222" spans="17:17" x14ac:dyDescent="0.2">
      <c r="Q222" s="21"/>
    </row>
    <row r="223" spans="17:17" x14ac:dyDescent="0.2">
      <c r="Q223" s="21"/>
    </row>
    <row r="224" spans="17:17" x14ac:dyDescent="0.2">
      <c r="Q224" s="21"/>
    </row>
    <row r="225" spans="17:17" x14ac:dyDescent="0.2">
      <c r="Q225" s="21"/>
    </row>
    <row r="226" spans="17:17" x14ac:dyDescent="0.2">
      <c r="Q226" s="21"/>
    </row>
    <row r="227" spans="17:17" x14ac:dyDescent="0.2">
      <c r="Q227" s="21"/>
    </row>
    <row r="228" spans="17:17" x14ac:dyDescent="0.2">
      <c r="Q228" s="21"/>
    </row>
    <row r="229" spans="17:17" x14ac:dyDescent="0.2">
      <c r="Q229" s="21"/>
    </row>
    <row r="230" spans="17:17" x14ac:dyDescent="0.2">
      <c r="Q230" s="21"/>
    </row>
    <row r="231" spans="17:17" x14ac:dyDescent="0.2">
      <c r="Q231" s="21"/>
    </row>
    <row r="232" spans="17:17" x14ac:dyDescent="0.2">
      <c r="Q232" s="21"/>
    </row>
    <row r="233" spans="17:17" x14ac:dyDescent="0.2">
      <c r="Q233" s="21"/>
    </row>
    <row r="234" spans="17:17" x14ac:dyDescent="0.2">
      <c r="Q234" s="21"/>
    </row>
    <row r="235" spans="17:17" x14ac:dyDescent="0.2">
      <c r="Q235" s="21"/>
    </row>
    <row r="236" spans="17:17" x14ac:dyDescent="0.2">
      <c r="Q236" s="21"/>
    </row>
    <row r="237" spans="17:17" x14ac:dyDescent="0.2">
      <c r="Q237" s="21"/>
    </row>
    <row r="238" spans="17:17" x14ac:dyDescent="0.2">
      <c r="Q238" s="21"/>
    </row>
    <row r="239" spans="17:17" x14ac:dyDescent="0.2">
      <c r="Q239" s="21"/>
    </row>
    <row r="240" spans="17:17" x14ac:dyDescent="0.2">
      <c r="Q240" s="21"/>
    </row>
    <row r="241" spans="17:17" x14ac:dyDescent="0.2">
      <c r="Q241" s="21"/>
    </row>
    <row r="242" spans="17:17" x14ac:dyDescent="0.2">
      <c r="Q242" s="21"/>
    </row>
    <row r="243" spans="17:17" x14ac:dyDescent="0.2">
      <c r="Q243" s="21"/>
    </row>
    <row r="244" spans="17:17" x14ac:dyDescent="0.2">
      <c r="Q244" s="21"/>
    </row>
    <row r="245" spans="17:17" x14ac:dyDescent="0.2">
      <c r="Q245" s="21"/>
    </row>
    <row r="246" spans="17:17" x14ac:dyDescent="0.2">
      <c r="Q246" s="21"/>
    </row>
    <row r="247" spans="17:17" x14ac:dyDescent="0.2">
      <c r="Q247" s="21"/>
    </row>
    <row r="248" spans="17:17" x14ac:dyDescent="0.2">
      <c r="Q248" s="21"/>
    </row>
    <row r="249" spans="17:17" x14ac:dyDescent="0.2">
      <c r="Q249" s="21"/>
    </row>
    <row r="250" spans="17:17" x14ac:dyDescent="0.2">
      <c r="Q250" s="21"/>
    </row>
    <row r="251" spans="17:17" x14ac:dyDescent="0.2">
      <c r="Q251" s="21"/>
    </row>
    <row r="252" spans="17:17" x14ac:dyDescent="0.2">
      <c r="Q252" s="21"/>
    </row>
    <row r="253" spans="17:17" x14ac:dyDescent="0.2">
      <c r="Q253" s="21"/>
    </row>
    <row r="254" spans="17:17" x14ac:dyDescent="0.2">
      <c r="Q254" s="21"/>
    </row>
    <row r="255" spans="17:17" x14ac:dyDescent="0.2">
      <c r="Q255" s="21"/>
    </row>
    <row r="256" spans="17:17" x14ac:dyDescent="0.2">
      <c r="Q256" s="21"/>
    </row>
    <row r="257" spans="17:17" x14ac:dyDescent="0.2">
      <c r="Q257" s="21"/>
    </row>
    <row r="258" spans="17:17" x14ac:dyDescent="0.2">
      <c r="Q258" s="21"/>
    </row>
    <row r="259" spans="17:17" x14ac:dyDescent="0.2">
      <c r="Q259" s="21"/>
    </row>
    <row r="260" spans="17:17" x14ac:dyDescent="0.2">
      <c r="Q260" s="21"/>
    </row>
    <row r="261" spans="17:17" x14ac:dyDescent="0.2">
      <c r="Q261" s="21"/>
    </row>
    <row r="262" spans="17:17" x14ac:dyDescent="0.2">
      <c r="Q262" s="21"/>
    </row>
    <row r="263" spans="17:17" x14ac:dyDescent="0.2">
      <c r="Q263" s="21"/>
    </row>
    <row r="264" spans="17:17" x14ac:dyDescent="0.2">
      <c r="Q264" s="21"/>
    </row>
    <row r="265" spans="17:17" x14ac:dyDescent="0.2">
      <c r="Q265" s="21"/>
    </row>
    <row r="266" spans="17:17" x14ac:dyDescent="0.2">
      <c r="Q266" s="21"/>
    </row>
    <row r="267" spans="17:17" x14ac:dyDescent="0.2">
      <c r="Q267" s="21"/>
    </row>
    <row r="268" spans="17:17" x14ac:dyDescent="0.2">
      <c r="Q268" s="21"/>
    </row>
    <row r="269" spans="17:17" x14ac:dyDescent="0.2">
      <c r="Q269" s="21"/>
    </row>
    <row r="270" spans="17:17" x14ac:dyDescent="0.2">
      <c r="Q270" s="21"/>
    </row>
    <row r="271" spans="17:17" x14ac:dyDescent="0.2">
      <c r="Q271" s="21"/>
    </row>
    <row r="272" spans="17:17" x14ac:dyDescent="0.2">
      <c r="Q272" s="21"/>
    </row>
    <row r="273" spans="17:17" x14ac:dyDescent="0.2">
      <c r="Q273" s="21"/>
    </row>
    <row r="274" spans="17:17" x14ac:dyDescent="0.2">
      <c r="Q274" s="21"/>
    </row>
  </sheetData>
  <customSheetViews>
    <customSheetView guid="{85BAD813-6002-444C-94EE-85A3EFC799A5}" showPageBreaks="1" printArea="1" view="pageBreakPreview">
      <pane xSplit="3" ySplit="3" topLeftCell="D25" activePane="bottomRight" state="frozen"/>
      <selection pane="bottomRight" activeCell="A2" sqref="A2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1"/>
      <headerFooter alignWithMargins="0"/>
    </customSheetView>
    <customSheetView guid="{DF69299D-7752-4436-A45D-28F739CEE21B}" showPageBreaks="1" printArea="1" view="pageBreakPreview">
      <pane xSplit="3" ySplit="3" topLeftCell="I25" activePane="bottomRight" state="frozen"/>
      <selection pane="bottomRight" activeCell="K19" sqref="K19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2"/>
      <headerFooter alignWithMargins="0"/>
    </customSheetView>
    <customSheetView guid="{6C0BD6A7-6718-429D-82D9-D2FE0341EA2C}" showPageBreaks="1" printArea="1" hiddenColumns="1" view="pageBreakPreview">
      <pane xSplit="3" ySplit="3" topLeftCell="D73" activePane="bottomRight" state="frozen"/>
      <selection pane="bottomRight" activeCell="H75" sqref="H75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3"/>
      <headerFooter alignWithMargins="0"/>
    </customSheetView>
    <customSheetView guid="{594C4AB0-8D5F-4373-9663-410F4413FE3A}" showPageBreaks="1" printArea="1" hiddenColumns="1" view="pageBreakPreview">
      <pane xSplit="3" ySplit="3" topLeftCell="D4" activePane="bottomRight" state="frozen"/>
      <selection pane="bottomRight" activeCell="F17" sqref="F17"/>
      <rowBreaks count="1" manualBreakCount="1">
        <brk id="58" max="17" man="1"/>
      </rowBreaks>
      <pageMargins left="0" right="0" top="0" bottom="0" header="0.31496062992125984" footer="0.31496062992125984"/>
      <pageSetup paperSize="8" scale="85" orientation="landscape" r:id="rId4"/>
      <headerFooter alignWithMargins="0"/>
    </customSheetView>
  </customSheetViews>
  <mergeCells count="9">
    <mergeCell ref="D5:F5"/>
    <mergeCell ref="D71:F71"/>
    <mergeCell ref="D11:F11"/>
    <mergeCell ref="D84:F84"/>
    <mergeCell ref="D27:F27"/>
    <mergeCell ref="D50:F50"/>
    <mergeCell ref="D57:F57"/>
    <mergeCell ref="D64:F64"/>
    <mergeCell ref="D78:F78"/>
  </mergeCells>
  <phoneticPr fontId="0" type="noConversion"/>
  <pageMargins left="0" right="0" top="0" bottom="0" header="0.31496062992125984" footer="0.31496062992125984"/>
  <pageSetup paperSize="8" scale="85" orientation="landscape" r:id="rId5"/>
  <headerFooter alignWithMargins="0"/>
  <rowBreaks count="1" manualBreakCount="1">
    <brk id="58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indexed="48"/>
  </sheetPr>
  <dimension ref="A1:V399"/>
  <sheetViews>
    <sheetView view="pageBreakPreview" zoomScaleSheetLayoutView="100" workbookViewId="0">
      <pane xSplit="3" ySplit="3" topLeftCell="F125" activePane="bottomRight" state="frozen"/>
      <selection pane="topRight" activeCell="D1" sqref="D1"/>
      <selection pane="bottomLeft" activeCell="A4" sqref="A4"/>
      <selection pane="bottomRight" activeCell="A134" sqref="A134:O145"/>
    </sheetView>
  </sheetViews>
  <sheetFormatPr defaultColWidth="9.140625" defaultRowHeight="11.25" x14ac:dyDescent="0.2"/>
  <cols>
    <col min="1" max="1" width="28.140625" style="2" bestFit="1" customWidth="1"/>
    <col min="2" max="2" width="14" style="2" bestFit="1" customWidth="1"/>
    <col min="3" max="3" width="4.42578125" style="6" bestFit="1" customWidth="1"/>
    <col min="4" max="4" width="8.7109375" style="17" bestFit="1" customWidth="1"/>
    <col min="5" max="5" width="14" style="2" bestFit="1" customWidth="1"/>
    <col min="6" max="6" width="11.28515625" style="2" bestFit="1" customWidth="1"/>
    <col min="7" max="10" width="13.140625" style="2" bestFit="1" customWidth="1"/>
    <col min="11" max="11" width="11.28515625" style="2" bestFit="1" customWidth="1"/>
    <col min="12" max="12" width="13.140625" style="2" bestFit="1" customWidth="1"/>
    <col min="13" max="13" width="14.85546875" style="2" bestFit="1" customWidth="1"/>
    <col min="14" max="14" width="13.140625" style="2" bestFit="1" customWidth="1"/>
    <col min="15" max="15" width="14" style="2" bestFit="1" customWidth="1"/>
    <col min="16" max="16" width="11.28515625" style="15" hidden="1" customWidth="1"/>
    <col min="17" max="17" width="7.85546875" style="29" bestFit="1" customWidth="1"/>
    <col min="18" max="18" width="9.140625" style="2"/>
    <col min="19" max="21" width="14" style="2" bestFit="1" customWidth="1"/>
    <col min="22" max="22" width="13.140625" style="2" bestFit="1" customWidth="1"/>
    <col min="23" max="16384" width="9.140625" style="2"/>
  </cols>
  <sheetData>
    <row r="1" spans="1:17" x14ac:dyDescent="0.2">
      <c r="A1" s="18" t="s">
        <v>1510</v>
      </c>
      <c r="D1" s="17" t="s">
        <v>21</v>
      </c>
    </row>
    <row r="3" spans="1:17" ht="25.5" customHeight="1" x14ac:dyDescent="0.2">
      <c r="A3" s="340" t="s">
        <v>1</v>
      </c>
      <c r="B3" s="340" t="s">
        <v>0</v>
      </c>
      <c r="C3" s="341" t="s">
        <v>2</v>
      </c>
      <c r="D3" s="342" t="s">
        <v>3</v>
      </c>
      <c r="E3" s="343" t="s">
        <v>192</v>
      </c>
      <c r="F3" s="343" t="s">
        <v>1501</v>
      </c>
      <c r="G3" s="343" t="s">
        <v>178</v>
      </c>
      <c r="H3" s="343" t="s">
        <v>194</v>
      </c>
      <c r="I3" s="343" t="s">
        <v>184</v>
      </c>
      <c r="J3" s="343" t="s">
        <v>185</v>
      </c>
      <c r="K3" s="343" t="s">
        <v>181</v>
      </c>
      <c r="L3" s="340" t="str">
        <f>+mayor!L3</f>
        <v>INTEREST</v>
      </c>
      <c r="M3" s="340" t="s">
        <v>12</v>
      </c>
      <c r="N3" s="343" t="s">
        <v>193</v>
      </c>
      <c r="O3" s="343" t="s">
        <v>182</v>
      </c>
      <c r="P3" s="346" t="s">
        <v>85</v>
      </c>
      <c r="Q3" s="347" t="s">
        <v>11</v>
      </c>
    </row>
    <row r="4" spans="1:17" ht="12" thickBot="1" x14ac:dyDescent="0.25"/>
    <row r="5" spans="1:17" ht="12" thickBot="1" x14ac:dyDescent="0.25">
      <c r="A5" s="330" t="s">
        <v>10</v>
      </c>
      <c r="B5" s="331" t="s">
        <v>488</v>
      </c>
      <c r="D5" s="568" t="s">
        <v>257</v>
      </c>
      <c r="E5" s="569"/>
      <c r="F5" s="570"/>
    </row>
    <row r="6" spans="1:17" x14ac:dyDescent="0.2">
      <c r="Q6" s="21"/>
    </row>
    <row r="7" spans="1:17" s="9" customFormat="1" x14ac:dyDescent="0.2">
      <c r="A7" s="61" t="str">
        <f>+'1-10'!C17</f>
        <v>ISUZU KB200i 2x4 [103]</v>
      </c>
      <c r="B7" s="61" t="str">
        <f>+'1-10'!R17</f>
        <v>CMB 471 L</v>
      </c>
      <c r="C7" s="54">
        <v>616</v>
      </c>
      <c r="D7" s="46">
        <v>40000</v>
      </c>
      <c r="E7" s="62">
        <f>+D7/P7*(CALC!$A$4)*1.01</f>
        <v>96911.544227886057</v>
      </c>
      <c r="F7" s="37">
        <v>3000</v>
      </c>
      <c r="G7" s="37">
        <f>5481.62*(1+CALC!$A$2)</f>
        <v>3974.1744999999996</v>
      </c>
      <c r="H7" s="37">
        <v>35000</v>
      </c>
      <c r="I7" s="37">
        <v>15393.84</v>
      </c>
      <c r="J7" s="37"/>
      <c r="K7" s="37">
        <v>960</v>
      </c>
      <c r="L7" s="37"/>
      <c r="M7" s="37">
        <f>SUM(E7:L7)</f>
        <v>155239.55872788603</v>
      </c>
      <c r="N7" s="32">
        <f>M7/CALC!$A$8*CALC!$A$6</f>
        <v>5907.5854347556324</v>
      </c>
      <c r="O7" s="37">
        <f>+M7+N7</f>
        <v>161147.14416264166</v>
      </c>
      <c r="P7" s="48">
        <v>6.67</v>
      </c>
      <c r="Q7" s="49"/>
    </row>
    <row r="8" spans="1:17" s="9" customFormat="1" x14ac:dyDescent="0.2">
      <c r="A8" s="61" t="str">
        <f>+'1-10'!C21</f>
        <v>ISUZU KB200i 2x4 [103]</v>
      </c>
      <c r="B8" s="61" t="str">
        <f>+'1-10'!R21</f>
        <v>CMB 598 L</v>
      </c>
      <c r="C8" s="54">
        <v>620</v>
      </c>
      <c r="D8" s="46">
        <v>10000</v>
      </c>
      <c r="E8" s="62">
        <f>+D8/P8*(CALC!$A$4)*1.01</f>
        <v>24227.886056971514</v>
      </c>
      <c r="F8" s="37">
        <v>3000</v>
      </c>
      <c r="G8" s="37">
        <f>5481.62*(1+CALC!$A$2)</f>
        <v>3974.1744999999996</v>
      </c>
      <c r="H8" s="37">
        <v>35000</v>
      </c>
      <c r="I8" s="37">
        <v>15393.84</v>
      </c>
      <c r="J8" s="37"/>
      <c r="K8" s="37">
        <v>960</v>
      </c>
      <c r="L8" s="37"/>
      <c r="M8" s="37">
        <f>SUM(E8:L8)</f>
        <v>82555.900556971508</v>
      </c>
      <c r="N8" s="32">
        <f>M8/CALC!$A$8*CALC!$A$6</f>
        <v>3141.6350296278674</v>
      </c>
      <c r="O8" s="37">
        <f>+M8+N8</f>
        <v>85697.535586599377</v>
      </c>
      <c r="P8" s="48">
        <v>6.67</v>
      </c>
      <c r="Q8" s="49"/>
    </row>
    <row r="9" spans="1:17" s="10" customFormat="1" x14ac:dyDescent="0.2">
      <c r="A9" s="63"/>
      <c r="B9" s="3" t="s">
        <v>14</v>
      </c>
      <c r="C9" s="136"/>
      <c r="D9" s="137">
        <f t="shared" ref="D9:K9" si="0">SUM(D7:D8)</f>
        <v>50000</v>
      </c>
      <c r="E9" s="32">
        <f t="shared" si="0"/>
        <v>121139.43028485758</v>
      </c>
      <c r="F9" s="32">
        <f t="shared" si="0"/>
        <v>6000</v>
      </c>
      <c r="G9" s="32">
        <f t="shared" si="0"/>
        <v>7948.3489999999993</v>
      </c>
      <c r="H9" s="32">
        <f t="shared" si="0"/>
        <v>70000</v>
      </c>
      <c r="I9" s="32">
        <f t="shared" si="0"/>
        <v>30787.68</v>
      </c>
      <c r="J9" s="32">
        <f t="shared" si="0"/>
        <v>0</v>
      </c>
      <c r="K9" s="32">
        <f t="shared" si="0"/>
        <v>1920</v>
      </c>
      <c r="L9" s="32">
        <f>+L7+L8</f>
        <v>0</v>
      </c>
      <c r="M9" s="32">
        <f>SUM(M7:M8)</f>
        <v>237795.45928485756</v>
      </c>
      <c r="N9" s="32">
        <f>SUM(N7:N8)</f>
        <v>9049.2204643834993</v>
      </c>
      <c r="O9" s="32">
        <f>SUM(O7:O8)</f>
        <v>246844.67974924104</v>
      </c>
      <c r="P9" s="50"/>
      <c r="Q9" s="362">
        <f>(+O9/D9)*(1+CALC!$A$3)</f>
        <v>4.9368935949848209</v>
      </c>
    </row>
    <row r="10" spans="1:17" ht="12" thickBot="1" x14ac:dyDescent="0.25">
      <c r="Q10" s="21"/>
    </row>
    <row r="11" spans="1:17" ht="12" thickBot="1" x14ac:dyDescent="0.25">
      <c r="A11" s="330" t="s">
        <v>10</v>
      </c>
      <c r="B11" s="331" t="s">
        <v>489</v>
      </c>
      <c r="D11" s="568" t="s">
        <v>284</v>
      </c>
      <c r="E11" s="569"/>
      <c r="F11" s="570"/>
      <c r="Q11" s="21"/>
    </row>
    <row r="12" spans="1:17" x14ac:dyDescent="0.2">
      <c r="Q12" s="21"/>
    </row>
    <row r="13" spans="1:17" s="9" customFormat="1" x14ac:dyDescent="0.2">
      <c r="A13" s="61" t="str">
        <f>+'1-10'!C43</f>
        <v>NISSAN NP 300 4X4 [063]</v>
      </c>
      <c r="B13" s="61" t="str">
        <f>+'1-10'!R43</f>
        <v>CLW 537 L</v>
      </c>
      <c r="C13" s="54">
        <v>642</v>
      </c>
      <c r="D13" s="46">
        <v>40000</v>
      </c>
      <c r="E13" s="62">
        <f>+D13/P13*(CALC!$A$4)*1.2</f>
        <v>84488.448844884479</v>
      </c>
      <c r="F13" s="37">
        <v>3000</v>
      </c>
      <c r="G13" s="37">
        <f>5481.62*(1+CALC!$A$2)</f>
        <v>3974.1744999999996</v>
      </c>
      <c r="H13" s="37">
        <v>35000</v>
      </c>
      <c r="I13" s="37">
        <v>21598.39</v>
      </c>
      <c r="J13" s="37"/>
      <c r="K13" s="37">
        <v>1200</v>
      </c>
      <c r="L13" s="37"/>
      <c r="M13" s="37">
        <f>SUM(E13:L13)</f>
        <v>149261.01334488447</v>
      </c>
      <c r="N13" s="37">
        <f>M13/CALC!$A$8*CALC!$A$6</f>
        <v>5680.0740458089876</v>
      </c>
      <c r="O13" s="37">
        <f>+M13+N13</f>
        <v>154941.08739069346</v>
      </c>
      <c r="P13" s="48">
        <v>9.09</v>
      </c>
      <c r="Q13" s="49"/>
    </row>
    <row r="14" spans="1:17" s="9" customFormat="1" x14ac:dyDescent="0.2">
      <c r="A14" s="61" t="str">
        <f>+'1-10'!C44</f>
        <v>NISSAN NP 300 4X4 [063]</v>
      </c>
      <c r="B14" s="61" t="str">
        <f>+'1-10'!R44</f>
        <v>CLW 553 L</v>
      </c>
      <c r="C14" s="54">
        <v>643</v>
      </c>
      <c r="D14" s="46">
        <v>63700</v>
      </c>
      <c r="E14" s="62">
        <f>+D14/P14*(CALC!$A$4)*1.01</f>
        <v>113244.44444444445</v>
      </c>
      <c r="F14" s="37">
        <v>3000</v>
      </c>
      <c r="G14" s="37">
        <f>5481.62*(1+CALC!$A$2)</f>
        <v>3974.1744999999996</v>
      </c>
      <c r="H14" s="37">
        <v>35000</v>
      </c>
      <c r="I14" s="37">
        <v>29598.39</v>
      </c>
      <c r="J14" s="37"/>
      <c r="K14" s="37">
        <v>1200</v>
      </c>
      <c r="L14" s="37"/>
      <c r="M14" s="37">
        <f>SUM(E14:L14)</f>
        <v>186017.00894444447</v>
      </c>
      <c r="N14" s="37">
        <f>M14/CALC!$A$8*CALC!$A$6</f>
        <v>7078.8102057366159</v>
      </c>
      <c r="O14" s="37">
        <f>+M14+N14</f>
        <v>193095.81915018108</v>
      </c>
      <c r="P14" s="48">
        <v>9.09</v>
      </c>
      <c r="Q14" s="49"/>
    </row>
    <row r="15" spans="1:17" s="9" customFormat="1" x14ac:dyDescent="0.2">
      <c r="A15" s="61" t="str">
        <f>+'1-10'!C45</f>
        <v>NISSAN NP 300 4X4 [073]</v>
      </c>
      <c r="B15" s="61" t="str">
        <f>+'1-10'!R45</f>
        <v>CLW 533 L</v>
      </c>
      <c r="C15" s="54">
        <v>644</v>
      </c>
      <c r="D15" s="46">
        <v>10000</v>
      </c>
      <c r="E15" s="62">
        <f>+D15/P15*(CALC!$A$4)*1.01</f>
        <v>17777.777777777777</v>
      </c>
      <c r="F15" s="37">
        <v>3000</v>
      </c>
      <c r="G15" s="37">
        <f>5481.62*(1+CALC!$A$2)</f>
        <v>3974.1744999999996</v>
      </c>
      <c r="H15" s="37">
        <v>35000</v>
      </c>
      <c r="I15" s="37">
        <v>21606</v>
      </c>
      <c r="J15" s="37"/>
      <c r="K15" s="37">
        <v>1200</v>
      </c>
      <c r="L15" s="37"/>
      <c r="M15" s="37">
        <f>SUM(E15:L15)</f>
        <v>82557.952277777775</v>
      </c>
      <c r="N15" s="37">
        <f>M15/CALC!$A$8*CALC!$A$6</f>
        <v>3141.7131071233885</v>
      </c>
      <c r="O15" s="37">
        <f>+M15+N15</f>
        <v>85699.665384901164</v>
      </c>
      <c r="P15" s="48">
        <v>9.09</v>
      </c>
      <c r="Q15" s="49"/>
    </row>
    <row r="16" spans="1:17" s="10" customFormat="1" x14ac:dyDescent="0.2">
      <c r="A16" s="63"/>
      <c r="B16" s="3" t="s">
        <v>14</v>
      </c>
      <c r="C16" s="136"/>
      <c r="D16" s="137">
        <f>+D13+D14+D15</f>
        <v>113700</v>
      </c>
      <c r="E16" s="32">
        <f>+E13+E14+E15</f>
        <v>215510.67106710671</v>
      </c>
      <c r="F16" s="32">
        <f t="shared" ref="F16:O16" si="1">+F13+F14+F15</f>
        <v>9000</v>
      </c>
      <c r="G16" s="32">
        <f t="shared" si="1"/>
        <v>11922.523499999999</v>
      </c>
      <c r="H16" s="32">
        <f t="shared" si="1"/>
        <v>105000</v>
      </c>
      <c r="I16" s="32">
        <f t="shared" si="1"/>
        <v>72802.78</v>
      </c>
      <c r="J16" s="32">
        <f t="shared" si="1"/>
        <v>0</v>
      </c>
      <c r="K16" s="32">
        <f t="shared" si="1"/>
        <v>3600</v>
      </c>
      <c r="L16" s="32">
        <f t="shared" si="1"/>
        <v>0</v>
      </c>
      <c r="M16" s="32">
        <f t="shared" si="1"/>
        <v>417835.97456710675</v>
      </c>
      <c r="N16" s="32">
        <f t="shared" si="1"/>
        <v>15900.597358668992</v>
      </c>
      <c r="O16" s="32">
        <f t="shared" si="1"/>
        <v>433736.57192577567</v>
      </c>
      <c r="P16" s="50"/>
      <c r="Q16" s="362">
        <f>(+O16/D16)*(1+CALC!$A$3)</f>
        <v>3.8147455754245883</v>
      </c>
    </row>
    <row r="17" spans="1:17" ht="12" thickBot="1" x14ac:dyDescent="0.25">
      <c r="Q17" s="21"/>
    </row>
    <row r="18" spans="1:17" ht="12" thickBot="1" x14ac:dyDescent="0.25">
      <c r="A18" s="330" t="s">
        <v>10</v>
      </c>
      <c r="B18" s="331" t="s">
        <v>490</v>
      </c>
      <c r="D18" s="568" t="s">
        <v>684</v>
      </c>
      <c r="E18" s="569"/>
      <c r="F18" s="570"/>
      <c r="Q18" s="21"/>
    </row>
    <row r="19" spans="1:17" x14ac:dyDescent="0.2">
      <c r="Q19" s="21"/>
    </row>
    <row r="20" spans="1:17" s="9" customFormat="1" x14ac:dyDescent="0.2">
      <c r="A20" s="61" t="str">
        <f>+'1-10'!C52</f>
        <v>TOYOTA DYNA 150 [063]</v>
      </c>
      <c r="B20" s="61" t="str">
        <f>+'1-10'!R52</f>
        <v>CMN 314 L</v>
      </c>
      <c r="C20" s="54">
        <v>651</v>
      </c>
      <c r="D20" s="46">
        <v>30000</v>
      </c>
      <c r="E20" s="62">
        <f>+D20/P20*(CALC!$A$4)</f>
        <v>68571.428571428565</v>
      </c>
      <c r="F20" s="37">
        <v>3000</v>
      </c>
      <c r="G20" s="37">
        <f>9000*(1+CALC!$A$2)</f>
        <v>6525</v>
      </c>
      <c r="H20" s="37">
        <v>40000</v>
      </c>
      <c r="I20" s="37">
        <v>14067.31</v>
      </c>
      <c r="J20" s="37"/>
      <c r="K20" s="37">
        <v>10500</v>
      </c>
      <c r="L20" s="37"/>
      <c r="M20" s="37">
        <f>SUM(E20:L20)</f>
        <v>142663.73857142858</v>
      </c>
      <c r="N20" s="37">
        <f>M20/CALC!$A$8*CALC!$A$6</f>
        <v>5429.0171329955156</v>
      </c>
      <c r="O20" s="37">
        <f>+M20+N20</f>
        <v>148092.75570442408</v>
      </c>
      <c r="P20" s="48">
        <v>7</v>
      </c>
      <c r="Q20" s="49"/>
    </row>
    <row r="21" spans="1:17" s="9" customFormat="1" x14ac:dyDescent="0.2">
      <c r="A21" s="61" t="str">
        <f>+'1-10'!C53</f>
        <v>TOYOTA DYNA 150 [105]</v>
      </c>
      <c r="B21" s="61" t="str">
        <f>+'1-10'!R53</f>
        <v>CML 499 L</v>
      </c>
      <c r="C21" s="54">
        <v>652</v>
      </c>
      <c r="D21" s="46">
        <v>10000</v>
      </c>
      <c r="E21" s="62">
        <f>+D21/P21*(CALC!$A$4)</f>
        <v>22857.142857142859</v>
      </c>
      <c r="F21" s="37">
        <v>3000</v>
      </c>
      <c r="G21" s="37">
        <f>9000*(1+CALC!$A$2)</f>
        <v>6525</v>
      </c>
      <c r="H21" s="37">
        <v>40000</v>
      </c>
      <c r="I21" s="37">
        <v>14067.31</v>
      </c>
      <c r="J21" s="37"/>
      <c r="K21" s="37">
        <v>10500</v>
      </c>
      <c r="L21" s="37"/>
      <c r="M21" s="37">
        <f>SUM(E21:L21)</f>
        <v>96949.452857142853</v>
      </c>
      <c r="N21" s="37">
        <f>M21/CALC!$A$8*CALC!$A$6</f>
        <v>3689.3764727218518</v>
      </c>
      <c r="O21" s="37">
        <f>+M21+N21</f>
        <v>100638.8293298647</v>
      </c>
      <c r="P21" s="48">
        <v>7</v>
      </c>
      <c r="Q21" s="49"/>
    </row>
    <row r="22" spans="1:17" s="9" customFormat="1" x14ac:dyDescent="0.2">
      <c r="A22" s="61" t="str">
        <f>+'1-10'!C56</f>
        <v>TOYOTA DYNA 150 [103]</v>
      </c>
      <c r="B22" s="61" t="str">
        <f>+'1-10'!R56</f>
        <v>CML 497 L</v>
      </c>
      <c r="C22" s="54">
        <v>655</v>
      </c>
      <c r="D22" s="46">
        <f>+'1-10'!K85</f>
        <v>10000</v>
      </c>
      <c r="E22" s="62">
        <f>+D22/P22*(CALC!$A$4)</f>
        <v>22857.142857142859</v>
      </c>
      <c r="F22" s="37">
        <v>3000</v>
      </c>
      <c r="G22" s="37">
        <f>9000*(1+CALC!$A$2)</f>
        <v>6525</v>
      </c>
      <c r="H22" s="37">
        <v>40000</v>
      </c>
      <c r="I22" s="37">
        <v>21980.73</v>
      </c>
      <c r="J22" s="37"/>
      <c r="K22" s="37">
        <v>10500</v>
      </c>
      <c r="L22" s="37"/>
      <c r="M22" s="37">
        <f>SUM(E22:L22)</f>
        <v>104862.87285714285</v>
      </c>
      <c r="N22" s="37">
        <f>M22/CALC!$A$8*CALC!$A$6</f>
        <v>3990.5188175867261</v>
      </c>
      <c r="O22" s="37">
        <f>+M22+N22</f>
        <v>108853.39167472957</v>
      </c>
      <c r="P22" s="48">
        <v>7</v>
      </c>
      <c r="Q22" s="49"/>
    </row>
    <row r="23" spans="1:17" s="18" customFormat="1" x14ac:dyDescent="0.2">
      <c r="A23" s="35"/>
      <c r="B23" s="4" t="s">
        <v>14</v>
      </c>
      <c r="C23" s="26"/>
      <c r="D23" s="16">
        <f>+D20+D21+D22</f>
        <v>50000</v>
      </c>
      <c r="E23" s="14">
        <f>+E20+E21+E22</f>
        <v>114285.71428571428</v>
      </c>
      <c r="F23" s="14">
        <f t="shared" ref="F23:O23" si="2">+F20+F21+F22</f>
        <v>9000</v>
      </c>
      <c r="G23" s="14">
        <f t="shared" si="2"/>
        <v>19575</v>
      </c>
      <c r="H23" s="14">
        <f t="shared" si="2"/>
        <v>120000</v>
      </c>
      <c r="I23" s="14">
        <f t="shared" si="2"/>
        <v>50115.35</v>
      </c>
      <c r="J23" s="14">
        <f t="shared" si="2"/>
        <v>0</v>
      </c>
      <c r="K23" s="14">
        <f t="shared" si="2"/>
        <v>31500</v>
      </c>
      <c r="L23" s="32">
        <f t="shared" si="2"/>
        <v>0</v>
      </c>
      <c r="M23" s="14">
        <f t="shared" si="2"/>
        <v>344476.0642857143</v>
      </c>
      <c r="N23" s="14">
        <f t="shared" si="2"/>
        <v>13108.912423304093</v>
      </c>
      <c r="O23" s="14">
        <f t="shared" si="2"/>
        <v>357584.97670901834</v>
      </c>
      <c r="P23" s="33"/>
      <c r="Q23" s="135">
        <f>(+O23/D23)*(1+CALC!$A$3)</f>
        <v>7.1516995341803673</v>
      </c>
    </row>
    <row r="24" spans="1:17" ht="12" thickBot="1" x14ac:dyDescent="0.25">
      <c r="Q24" s="21"/>
    </row>
    <row r="25" spans="1:17" ht="12" thickBot="1" x14ac:dyDescent="0.25">
      <c r="A25" s="330" t="s">
        <v>10</v>
      </c>
      <c r="B25" s="331" t="s">
        <v>491</v>
      </c>
      <c r="D25" s="568" t="s">
        <v>685</v>
      </c>
      <c r="E25" s="569"/>
      <c r="F25" s="570"/>
      <c r="Q25" s="21"/>
    </row>
    <row r="26" spans="1:17" x14ac:dyDescent="0.2">
      <c r="Q26" s="21"/>
    </row>
    <row r="27" spans="1:17" s="9" customFormat="1" x14ac:dyDescent="0.2">
      <c r="A27" s="361" t="str">
        <f>+'1-10'!C62</f>
        <v>NISSAN   UD 40A M02 [063]</v>
      </c>
      <c r="B27" s="61" t="str">
        <f>+'1-10'!R62</f>
        <v>CMJ 507 L</v>
      </c>
      <c r="C27" s="54">
        <v>661</v>
      </c>
      <c r="D27" s="46">
        <v>13000</v>
      </c>
      <c r="E27" s="62">
        <f>+D27/P27*(CALC!$A$4)</f>
        <v>104000</v>
      </c>
      <c r="F27" s="37">
        <v>3000</v>
      </c>
      <c r="G27" s="37">
        <f>6057.27*(1+CALC!$A$2)</f>
        <v>4391.5207500000006</v>
      </c>
      <c r="H27" s="37">
        <v>40000</v>
      </c>
      <c r="I27" s="37">
        <v>29322.53</v>
      </c>
      <c r="J27" s="37"/>
      <c r="K27" s="37">
        <v>2400</v>
      </c>
      <c r="L27" s="37"/>
      <c r="M27" s="37">
        <f>SUM(E27:L27)</f>
        <v>183114.05074999999</v>
      </c>
      <c r="N27" s="37">
        <f>M27/CALC!$A$8*CALC!$A$6</f>
        <v>6968.3391783275165</v>
      </c>
      <c r="O27" s="37">
        <f>+M27+N27</f>
        <v>190082.38992832752</v>
      </c>
      <c r="P27" s="48">
        <v>2</v>
      </c>
      <c r="Q27" s="49"/>
    </row>
    <row r="28" spans="1:17" s="9" customFormat="1" x14ac:dyDescent="0.2">
      <c r="A28" s="361" t="str">
        <f>+'1-10'!C68</f>
        <v>NISSAN   UD 40A M02 [063]</v>
      </c>
      <c r="B28" s="61" t="str">
        <f>+'1-10'!R68</f>
        <v>CNK 299 L</v>
      </c>
      <c r="C28" s="54">
        <v>667</v>
      </c>
      <c r="D28" s="46">
        <v>8000</v>
      </c>
      <c r="E28" s="62">
        <f>+D28/P28*(CALC!$A$4)</f>
        <v>64000</v>
      </c>
      <c r="F28" s="37">
        <v>3000</v>
      </c>
      <c r="G28" s="37">
        <f>6057.27*(1+CALC!$A$2)</f>
        <v>4391.5207500000006</v>
      </c>
      <c r="H28" s="37">
        <v>40000</v>
      </c>
      <c r="I28" s="37">
        <v>22476.75</v>
      </c>
      <c r="J28" s="37"/>
      <c r="K28" s="37">
        <v>2400</v>
      </c>
      <c r="L28" s="37"/>
      <c r="M28" s="37">
        <f>SUM(E28:L28)</f>
        <v>136268.27075</v>
      </c>
      <c r="N28" s="37">
        <f>M28/CALC!$A$8*CALC!$A$6</f>
        <v>5185.6399109786316</v>
      </c>
      <c r="O28" s="37">
        <f>+M28+N28</f>
        <v>141453.91066097864</v>
      </c>
      <c r="P28" s="48">
        <v>2</v>
      </c>
      <c r="Q28" s="49"/>
    </row>
    <row r="29" spans="1:17" s="9" customFormat="1" x14ac:dyDescent="0.2">
      <c r="A29" s="361" t="str">
        <f>+'1-10'!C69</f>
        <v>NISSAN   UD 40A M02 [103]</v>
      </c>
      <c r="B29" s="61" t="str">
        <f>+'1-10'!R69</f>
        <v>CMP 207 L</v>
      </c>
      <c r="C29" s="54">
        <v>668</v>
      </c>
      <c r="D29" s="46">
        <v>8000</v>
      </c>
      <c r="E29" s="62">
        <f>+D29/P29*(CALC!$A$4)</f>
        <v>64000</v>
      </c>
      <c r="F29" s="37">
        <v>3000</v>
      </c>
      <c r="G29" s="37">
        <f>6057.27*(1+CALC!$A$2)</f>
        <v>4391.5207500000006</v>
      </c>
      <c r="H29" s="37">
        <v>40000</v>
      </c>
      <c r="I29" s="37">
        <v>29322.53</v>
      </c>
      <c r="J29" s="37"/>
      <c r="K29" s="37">
        <v>2400</v>
      </c>
      <c r="L29" s="37"/>
      <c r="M29" s="37">
        <f>SUM(E29:L29)</f>
        <v>143114.05074999999</v>
      </c>
      <c r="N29" s="37">
        <f>M29/CALC!$A$8*CALC!$A$6</f>
        <v>5446.1536005880616</v>
      </c>
      <c r="O29" s="37">
        <f>+M29+N29</f>
        <v>148560.20435058806</v>
      </c>
      <c r="P29" s="48">
        <v>2</v>
      </c>
      <c r="Q29" s="49"/>
    </row>
    <row r="30" spans="1:17" s="9" customFormat="1" x14ac:dyDescent="0.2">
      <c r="A30" s="361" t="str">
        <f>+'1-10'!C70</f>
        <v>NISSAN   UD 40A M02 [063]</v>
      </c>
      <c r="B30" s="61" t="str">
        <f>+'1-10'!R70</f>
        <v>CMS 105 L</v>
      </c>
      <c r="C30" s="54">
        <v>669</v>
      </c>
      <c r="D30" s="46">
        <v>12000</v>
      </c>
      <c r="E30" s="62">
        <f>+D30/P30*(CALC!$A$4)</f>
        <v>96000</v>
      </c>
      <c r="F30" s="37">
        <v>3000</v>
      </c>
      <c r="G30" s="37">
        <f>6057.27*(1+CALC!$A$2)</f>
        <v>4391.5207500000006</v>
      </c>
      <c r="H30" s="37">
        <f>7000</f>
        <v>7000</v>
      </c>
      <c r="I30" s="37">
        <v>29743.67</v>
      </c>
      <c r="J30" s="37"/>
      <c r="K30" s="37">
        <v>2400</v>
      </c>
      <c r="L30" s="37"/>
      <c r="M30" s="37">
        <f>SUM(E30:L30)</f>
        <v>142535.19075000001</v>
      </c>
      <c r="N30" s="37">
        <f>M30/CALC!$A$8*CALC!$A$6</f>
        <v>5424.1252919998051</v>
      </c>
      <c r="O30" s="37">
        <f>+M30+N30</f>
        <v>147959.31604199982</v>
      </c>
      <c r="P30" s="48">
        <v>2</v>
      </c>
      <c r="Q30" s="49"/>
    </row>
    <row r="31" spans="1:17" s="18" customFormat="1" x14ac:dyDescent="0.2">
      <c r="A31" s="35"/>
      <c r="B31" s="4" t="s">
        <v>14</v>
      </c>
      <c r="C31" s="26"/>
      <c r="D31" s="16">
        <f>+D27+D28+D29+D30</f>
        <v>41000</v>
      </c>
      <c r="E31" s="14">
        <f>+E27+E28+E29+E30</f>
        <v>328000</v>
      </c>
      <c r="F31" s="14">
        <f t="shared" ref="F31:O31" si="3">+F27+F28+F29+F30</f>
        <v>12000</v>
      </c>
      <c r="G31" s="14">
        <f t="shared" si="3"/>
        <v>17566.083000000002</v>
      </c>
      <c r="H31" s="14">
        <f t="shared" si="3"/>
        <v>127000</v>
      </c>
      <c r="I31" s="14">
        <f t="shared" si="3"/>
        <v>110865.48</v>
      </c>
      <c r="J31" s="14">
        <f t="shared" si="3"/>
        <v>0</v>
      </c>
      <c r="K31" s="14">
        <f t="shared" si="3"/>
        <v>9600</v>
      </c>
      <c r="L31" s="14">
        <f t="shared" si="3"/>
        <v>0</v>
      </c>
      <c r="M31" s="14">
        <f t="shared" si="3"/>
        <v>605031.56299999997</v>
      </c>
      <c r="N31" s="14">
        <f t="shared" si="3"/>
        <v>23024.257981894014</v>
      </c>
      <c r="O31" s="14">
        <f t="shared" si="3"/>
        <v>628055.82098189404</v>
      </c>
      <c r="P31" s="33"/>
      <c r="Q31" s="135">
        <f>(+O31/D31)*(1+CALC!$A$3)</f>
        <v>15.318434658094976</v>
      </c>
    </row>
    <row r="32" spans="1:17" ht="12" thickBot="1" x14ac:dyDescent="0.25">
      <c r="Q32" s="21"/>
    </row>
    <row r="33" spans="1:17" ht="12" thickBot="1" x14ac:dyDescent="0.25">
      <c r="A33" s="330" t="s">
        <v>10</v>
      </c>
      <c r="B33" s="331" t="s">
        <v>492</v>
      </c>
      <c r="D33" s="568" t="s">
        <v>679</v>
      </c>
      <c r="E33" s="569"/>
      <c r="F33" s="570"/>
      <c r="Q33" s="21"/>
    </row>
    <row r="34" spans="1:17" x14ac:dyDescent="0.2">
      <c r="Q34" s="21"/>
    </row>
    <row r="35" spans="1:17" s="9" customFormat="1" x14ac:dyDescent="0.2">
      <c r="A35" s="321" t="str">
        <f>+'1-10'!C86</f>
        <v>NISSAN  UD 80 WATER TANKER [063]</v>
      </c>
      <c r="B35" s="61" t="str">
        <f>+'1-10'!R86</f>
        <v>CNK 296 L</v>
      </c>
      <c r="C35" s="136">
        <v>685</v>
      </c>
      <c r="D35" s="46">
        <v>10000</v>
      </c>
      <c r="E35" s="62">
        <f>+D35/P35*(CALC!$A$4)</f>
        <v>106666.66666666667</v>
      </c>
      <c r="F35" s="37">
        <v>3000</v>
      </c>
      <c r="G35" s="37">
        <f>6057.27*(1+CALC!$A$2)</f>
        <v>4391.5207500000006</v>
      </c>
      <c r="H35" s="37">
        <f>95000</f>
        <v>95000</v>
      </c>
      <c r="I35" s="37">
        <v>51649.61</v>
      </c>
      <c r="J35" s="37"/>
      <c r="K35" s="37">
        <v>17160</v>
      </c>
      <c r="L35" s="37"/>
      <c r="M35" s="37">
        <f>SUM(E35:L35)</f>
        <v>277867.79741666664</v>
      </c>
      <c r="N35" s="32">
        <f>M35/CALC!$A$8*CALC!$A$6</f>
        <v>10574.158843646965</v>
      </c>
      <c r="O35" s="37">
        <f>+M35+N35</f>
        <v>288441.95626031363</v>
      </c>
      <c r="P35" s="48">
        <v>1.5</v>
      </c>
      <c r="Q35" s="49"/>
    </row>
    <row r="36" spans="1:17" s="18" customFormat="1" x14ac:dyDescent="0.2">
      <c r="A36" s="35"/>
      <c r="B36" s="4" t="s">
        <v>14</v>
      </c>
      <c r="C36" s="26"/>
      <c r="D36" s="16">
        <f t="shared" ref="D36:I36" si="4">SUM(D35:D35)</f>
        <v>10000</v>
      </c>
      <c r="E36" s="14">
        <f t="shared" si="4"/>
        <v>106666.66666666667</v>
      </c>
      <c r="F36" s="14">
        <f t="shared" si="4"/>
        <v>3000</v>
      </c>
      <c r="G36" s="37">
        <f>6057.27*(1+CALC!$A$2)</f>
        <v>4391.5207500000006</v>
      </c>
      <c r="H36" s="37">
        <f>20000*(1+CALC!$A$2)</f>
        <v>14500</v>
      </c>
      <c r="I36" s="14">
        <f t="shared" si="4"/>
        <v>51649.61</v>
      </c>
      <c r="J36" s="14">
        <f>SUM(J35)</f>
        <v>0</v>
      </c>
      <c r="K36" s="14">
        <f>SUM(K35:K35)</f>
        <v>17160</v>
      </c>
      <c r="L36" s="14">
        <f>+L35</f>
        <v>0</v>
      </c>
      <c r="M36" s="14">
        <f>SUM(M35:M35)</f>
        <v>277867.79741666664</v>
      </c>
      <c r="N36" s="14">
        <f>M36/CALC!$A$8*CALC!$A$6</f>
        <v>10574.158843646965</v>
      </c>
      <c r="O36" s="14">
        <f>+M36+N36</f>
        <v>288441.95626031363</v>
      </c>
      <c r="P36" s="33"/>
      <c r="Q36" s="135">
        <f>(+O36/D36)*(1+CALC!$A$3)</f>
        <v>28.844195626031365</v>
      </c>
    </row>
    <row r="37" spans="1:17" s="18" customFormat="1" ht="12" thickBot="1" x14ac:dyDescent="0.25">
      <c r="A37" s="35"/>
      <c r="B37" s="35"/>
      <c r="C37" s="39"/>
      <c r="D37" s="40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135"/>
    </row>
    <row r="38" spans="1:17" ht="12" thickBot="1" x14ac:dyDescent="0.25">
      <c r="A38" s="330" t="s">
        <v>10</v>
      </c>
      <c r="B38" s="331" t="s">
        <v>493</v>
      </c>
      <c r="D38" s="568" t="s">
        <v>686</v>
      </c>
      <c r="E38" s="569"/>
      <c r="F38" s="570"/>
      <c r="Q38" s="21"/>
    </row>
    <row r="39" spans="1:17" x14ac:dyDescent="0.2">
      <c r="Q39" s="21"/>
    </row>
    <row r="40" spans="1:17" s="9" customFormat="1" x14ac:dyDescent="0.2">
      <c r="A40" s="61" t="str">
        <f>+'1-10'!C84</f>
        <v>NISSAN  UD 80 C H07 [063] CRANE</v>
      </c>
      <c r="B40" s="61" t="str">
        <f>+'1-10'!R84</f>
        <v>CMJ 521 L</v>
      </c>
      <c r="C40" s="54">
        <v>683</v>
      </c>
      <c r="D40" s="46">
        <v>20000</v>
      </c>
      <c r="E40" s="62">
        <f>+D40/P40*(CALC!$A$4)</f>
        <v>213333.33333333334</v>
      </c>
      <c r="F40" s="37">
        <v>3000</v>
      </c>
      <c r="G40" s="37">
        <f>6057.27*(1+CALC!$A$2)</f>
        <v>4391.5207500000006</v>
      </c>
      <c r="H40" s="37">
        <f>95000</f>
        <v>95000</v>
      </c>
      <c r="I40" s="37">
        <v>61654.92</v>
      </c>
      <c r="J40" s="37"/>
      <c r="K40" s="37">
        <v>10200</v>
      </c>
      <c r="L40" s="37"/>
      <c r="M40" s="37">
        <f>SUM(E40:L40)</f>
        <v>387579.77408333332</v>
      </c>
      <c r="N40" s="32">
        <f>M40/CALC!$A$8*CALC!$A$6</f>
        <v>14749.208558329157</v>
      </c>
      <c r="O40" s="37">
        <f>+M40+N40</f>
        <v>402328.98264166247</v>
      </c>
      <c r="P40" s="48">
        <v>1.5</v>
      </c>
      <c r="Q40" s="49"/>
    </row>
    <row r="41" spans="1:17" s="18" customFormat="1" x14ac:dyDescent="0.2">
      <c r="A41" s="35"/>
      <c r="B41" s="4" t="s">
        <v>14</v>
      </c>
      <c r="C41" s="26"/>
      <c r="D41" s="16">
        <f t="shared" ref="D41:I41" si="5">SUM(D40:D40)</f>
        <v>20000</v>
      </c>
      <c r="E41" s="14">
        <f t="shared" si="5"/>
        <v>213333.33333333334</v>
      </c>
      <c r="F41" s="14">
        <f t="shared" si="5"/>
        <v>3000</v>
      </c>
      <c r="G41" s="14">
        <f t="shared" si="5"/>
        <v>4391.5207500000006</v>
      </c>
      <c r="H41" s="14">
        <f t="shared" si="5"/>
        <v>95000</v>
      </c>
      <c r="I41" s="14">
        <f t="shared" si="5"/>
        <v>61654.92</v>
      </c>
      <c r="J41" s="14">
        <f>SUM(J40)</f>
        <v>0</v>
      </c>
      <c r="K41" s="14">
        <f t="shared" ref="K41:L41" si="6">SUM(K40)</f>
        <v>10200</v>
      </c>
      <c r="L41" s="14">
        <f t="shared" si="6"/>
        <v>0</v>
      </c>
      <c r="M41" s="14">
        <f>SUM(M40:M40)</f>
        <v>387579.77408333332</v>
      </c>
      <c r="N41" s="14">
        <f>M41/CALC!$A$8*CALC!$A$6</f>
        <v>14749.208558329157</v>
      </c>
      <c r="O41" s="14">
        <f>+M41+N41</f>
        <v>402328.98264166247</v>
      </c>
      <c r="P41" s="33"/>
      <c r="Q41" s="135">
        <f>(+O41/D41)*(1+CALC!$A$3)</f>
        <v>20.116449132083122</v>
      </c>
    </row>
    <row r="42" spans="1:17" ht="12" thickBot="1" x14ac:dyDescent="0.25">
      <c r="Q42" s="21"/>
    </row>
    <row r="43" spans="1:17" ht="12" thickBot="1" x14ac:dyDescent="0.25">
      <c r="A43" s="330" t="s">
        <v>10</v>
      </c>
      <c r="B43" s="331" t="s">
        <v>494</v>
      </c>
      <c r="D43" s="568" t="s">
        <v>677</v>
      </c>
      <c r="E43" s="569"/>
      <c r="F43" s="570"/>
      <c r="Q43" s="21"/>
    </row>
    <row r="44" spans="1:17" x14ac:dyDescent="0.2">
      <c r="Q44" s="21"/>
    </row>
    <row r="45" spans="1:17" x14ac:dyDescent="0.2">
      <c r="Q45" s="21"/>
    </row>
    <row r="46" spans="1:17" s="9" customFormat="1" x14ac:dyDescent="0.2">
      <c r="A46" s="360" t="str">
        <f>+'1-10'!C80</f>
        <v>NISSAN  UD 85   TIPPER [063]</v>
      </c>
      <c r="B46" s="61" t="str">
        <f>+'1-10'!R80</f>
        <v>CMS 097 L</v>
      </c>
      <c r="C46" s="54">
        <v>679</v>
      </c>
      <c r="D46" s="46">
        <v>15000</v>
      </c>
      <c r="E46" s="62">
        <f>+D46/P46*(CALC!$A$4)</f>
        <v>160000</v>
      </c>
      <c r="F46" s="37">
        <v>3000</v>
      </c>
      <c r="G46" s="37">
        <f>6057.27*(1+CALC!$A$2)</f>
        <v>4391.5207500000006</v>
      </c>
      <c r="H46" s="37">
        <f>95000</f>
        <v>95000</v>
      </c>
      <c r="I46" s="37">
        <v>51540.91</v>
      </c>
      <c r="J46" s="37"/>
      <c r="K46" s="37">
        <v>17160</v>
      </c>
      <c r="L46" s="37"/>
      <c r="M46" s="37">
        <f>SUM(E46:L46)</f>
        <v>331092.43075000006</v>
      </c>
      <c r="N46" s="32">
        <f>M46/CALC!$A$8*CALC!$A$6</f>
        <v>12599.603074658735</v>
      </c>
      <c r="O46" s="37">
        <f>+M46+N46</f>
        <v>343692.03382465878</v>
      </c>
      <c r="P46" s="48">
        <v>1.5</v>
      </c>
      <c r="Q46" s="49"/>
    </row>
    <row r="47" spans="1:17" s="9" customFormat="1" x14ac:dyDescent="0.2">
      <c r="A47" s="360" t="str">
        <f>+'1-10'!C81</f>
        <v>NISSAN  UD 85   TIPPER [063]</v>
      </c>
      <c r="B47" s="61" t="str">
        <f>+'1-10'!R81</f>
        <v>CMS 114 L</v>
      </c>
      <c r="C47" s="54">
        <v>680</v>
      </c>
      <c r="D47" s="46">
        <v>15000</v>
      </c>
      <c r="E47" s="62">
        <f>+D47/P47*(CALC!$A$4)</f>
        <v>160000</v>
      </c>
      <c r="F47" s="37">
        <v>3000</v>
      </c>
      <c r="G47" s="37">
        <f>6057.27*(1+CALC!$A$2)</f>
        <v>4391.5207500000006</v>
      </c>
      <c r="H47" s="37">
        <f>95000</f>
        <v>95000</v>
      </c>
      <c r="I47" s="37">
        <v>52994.6</v>
      </c>
      <c r="J47" s="37"/>
      <c r="K47" s="37">
        <v>17160</v>
      </c>
      <c r="L47" s="37"/>
      <c r="M47" s="37">
        <f>SUM(E47:L47)</f>
        <v>332546.12075</v>
      </c>
      <c r="N47" s="32">
        <f>M47/CALC!$A$8*CALC!$A$6</f>
        <v>12654.922723471334</v>
      </c>
      <c r="O47" s="37">
        <f>+M47+N47</f>
        <v>345201.04347347136</v>
      </c>
      <c r="P47" s="48">
        <v>1.5</v>
      </c>
      <c r="Q47" s="49"/>
    </row>
    <row r="48" spans="1:17" s="18" customFormat="1" x14ac:dyDescent="0.2">
      <c r="A48" s="35"/>
      <c r="B48" s="4" t="s">
        <v>14</v>
      </c>
      <c r="C48" s="26"/>
      <c r="D48" s="16">
        <f>+D46+D47</f>
        <v>30000</v>
      </c>
      <c r="E48" s="14">
        <f>+E46+E47</f>
        <v>320000</v>
      </c>
      <c r="F48" s="14">
        <f t="shared" ref="F48:O48" si="7">+F46+F47</f>
        <v>6000</v>
      </c>
      <c r="G48" s="14">
        <f t="shared" si="7"/>
        <v>8783.0415000000012</v>
      </c>
      <c r="H48" s="14">
        <f t="shared" si="7"/>
        <v>190000</v>
      </c>
      <c r="I48" s="14">
        <f t="shared" si="7"/>
        <v>104535.51000000001</v>
      </c>
      <c r="J48" s="14">
        <f t="shared" si="7"/>
        <v>0</v>
      </c>
      <c r="K48" s="14">
        <f t="shared" si="7"/>
        <v>34320</v>
      </c>
      <c r="L48" s="14">
        <f t="shared" si="7"/>
        <v>0</v>
      </c>
      <c r="M48" s="14">
        <f t="shared" si="7"/>
        <v>663638.55150000006</v>
      </c>
      <c r="N48" s="14">
        <f t="shared" si="7"/>
        <v>25254.525798130067</v>
      </c>
      <c r="O48" s="14">
        <f t="shared" si="7"/>
        <v>688893.07729813014</v>
      </c>
      <c r="P48" s="14"/>
      <c r="Q48" s="135">
        <f>(+O48/D48)*(1+CALC!$A$3)</f>
        <v>22.963102576604339</v>
      </c>
    </row>
    <row r="49" spans="1:20" s="18" customFormat="1" x14ac:dyDescent="0.2">
      <c r="A49" s="35"/>
      <c r="B49" s="35"/>
      <c r="C49" s="39"/>
      <c r="D49" s="40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36"/>
    </row>
    <row r="50" spans="1:20" s="18" customFormat="1" ht="12" thickBot="1" x14ac:dyDescent="0.25">
      <c r="A50" s="35"/>
      <c r="B50" s="35"/>
      <c r="C50" s="39"/>
      <c r="D50" s="40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36"/>
    </row>
    <row r="51" spans="1:20" ht="12" thickBot="1" x14ac:dyDescent="0.25">
      <c r="A51" s="330" t="s">
        <v>10</v>
      </c>
      <c r="B51" s="331" t="s">
        <v>241</v>
      </c>
      <c r="D51" s="568" t="s">
        <v>237</v>
      </c>
      <c r="E51" s="569"/>
      <c r="F51" s="570"/>
      <c r="Q51" s="21"/>
    </row>
    <row r="52" spans="1:20" x14ac:dyDescent="0.2">
      <c r="Q52" s="21"/>
    </row>
    <row r="53" spans="1:20" s="9" customFormat="1" x14ac:dyDescent="0.2">
      <c r="A53" s="61" t="s">
        <v>237</v>
      </c>
      <c r="B53" s="61" t="s">
        <v>238</v>
      </c>
      <c r="C53" s="54">
        <v>420</v>
      </c>
      <c r="D53" s="46">
        <v>1500</v>
      </c>
      <c r="E53" s="62">
        <f>+D53/P53*(CALC!$A$4)</f>
        <v>342857.14285714284</v>
      </c>
      <c r="F53" s="37">
        <v>3000</v>
      </c>
      <c r="G53" s="37">
        <f>33000*(1+CALC!$A$2)</f>
        <v>23925</v>
      </c>
      <c r="H53" s="37">
        <f>630000</f>
        <v>630000</v>
      </c>
      <c r="I53" s="566">
        <f>0.75*358758.05</f>
        <v>269068.53749999998</v>
      </c>
      <c r="J53" s="37">
        <v>0</v>
      </c>
      <c r="K53" s="37">
        <v>240</v>
      </c>
      <c r="L53" s="37"/>
      <c r="M53" s="37">
        <f>SUM(E53:L53)</f>
        <v>1269090.6803571428</v>
      </c>
      <c r="N53" s="32">
        <f>M53/CALC!$A$8*CALC!$A$6</f>
        <v>48294.788262079892</v>
      </c>
      <c r="O53" s="37">
        <f>+M53+N53</f>
        <v>1317385.4686192228</v>
      </c>
      <c r="P53" s="48">
        <v>7.0000000000000007E-2</v>
      </c>
      <c r="Q53" s="49"/>
    </row>
    <row r="54" spans="1:20" s="9" customFormat="1" x14ac:dyDescent="0.2">
      <c r="A54" s="61" t="s">
        <v>237</v>
      </c>
      <c r="B54" s="61" t="s">
        <v>239</v>
      </c>
      <c r="C54" s="54">
        <v>421</v>
      </c>
      <c r="D54" s="46">
        <v>1500</v>
      </c>
      <c r="E54" s="62">
        <f>+D54/P54*(CALC!$A$4)</f>
        <v>342857.14285714284</v>
      </c>
      <c r="F54" s="37">
        <v>3000</v>
      </c>
      <c r="G54" s="37">
        <f>33000*(1+CALC!$A$2)</f>
        <v>23925</v>
      </c>
      <c r="H54" s="37">
        <f>630000</f>
        <v>630000</v>
      </c>
      <c r="I54" s="566">
        <f>0.75*358758.05</f>
        <v>269068.53749999998</v>
      </c>
      <c r="J54" s="37">
        <v>0</v>
      </c>
      <c r="K54" s="37">
        <v>240</v>
      </c>
      <c r="L54" s="37"/>
      <c r="M54" s="37">
        <f>SUM(E54:L54)</f>
        <v>1269090.6803571428</v>
      </c>
      <c r="N54" s="32">
        <f>M54/CALC!$A$8*CALC!$A$6</f>
        <v>48294.788262079892</v>
      </c>
      <c r="O54" s="37">
        <f>+M54+N54</f>
        <v>1317385.4686192228</v>
      </c>
      <c r="P54" s="48">
        <v>7.0000000000000007E-2</v>
      </c>
      <c r="Q54" s="49"/>
      <c r="R54" s="25"/>
      <c r="S54" s="25"/>
      <c r="T54" s="25"/>
    </row>
    <row r="55" spans="1:20" s="18" customFormat="1" x14ac:dyDescent="0.2">
      <c r="A55" s="35"/>
      <c r="B55" s="4" t="s">
        <v>14</v>
      </c>
      <c r="C55" s="26"/>
      <c r="D55" s="16">
        <f t="shared" ref="D55:O55" si="8">SUM(D53:D54)</f>
        <v>3000</v>
      </c>
      <c r="E55" s="14">
        <f t="shared" si="8"/>
        <v>685714.28571428568</v>
      </c>
      <c r="F55" s="14">
        <f t="shared" si="8"/>
        <v>6000</v>
      </c>
      <c r="G55" s="14">
        <f t="shared" si="8"/>
        <v>47850</v>
      </c>
      <c r="H55" s="14">
        <f t="shared" si="8"/>
        <v>1260000</v>
      </c>
      <c r="I55" s="14">
        <f t="shared" si="8"/>
        <v>538137.07499999995</v>
      </c>
      <c r="J55" s="14">
        <f t="shared" si="8"/>
        <v>0</v>
      </c>
      <c r="K55" s="14">
        <f t="shared" si="8"/>
        <v>480</v>
      </c>
      <c r="L55" s="14">
        <f t="shared" si="8"/>
        <v>0</v>
      </c>
      <c r="M55" s="14">
        <f t="shared" si="8"/>
        <v>2538181.3607142856</v>
      </c>
      <c r="N55" s="14">
        <f t="shared" si="8"/>
        <v>96589.576524159784</v>
      </c>
      <c r="O55" s="14">
        <f t="shared" si="8"/>
        <v>2634770.9372384455</v>
      </c>
      <c r="P55" s="33"/>
      <c r="Q55" s="135">
        <f>(+O55/D55)*(1+CALC!$A$3)</f>
        <v>878.25697907948188</v>
      </c>
    </row>
    <row r="56" spans="1:20" ht="12" thickBot="1" x14ac:dyDescent="0.25">
      <c r="Q56" s="21"/>
    </row>
    <row r="57" spans="1:20" s="9" customFormat="1" ht="12" thickBot="1" x14ac:dyDescent="0.25">
      <c r="A57" s="330" t="s">
        <v>10</v>
      </c>
      <c r="B57" s="331" t="s">
        <v>495</v>
      </c>
      <c r="C57" s="153"/>
      <c r="D57" s="568" t="s">
        <v>449</v>
      </c>
      <c r="E57" s="569"/>
      <c r="F57" s="570"/>
      <c r="P57" s="65"/>
      <c r="Q57" s="49"/>
    </row>
    <row r="58" spans="1:20" s="9" customFormat="1" x14ac:dyDescent="0.2">
      <c r="C58" s="153"/>
      <c r="D58" s="23"/>
      <c r="P58" s="65"/>
      <c r="Q58" s="49"/>
    </row>
    <row r="59" spans="1:20" s="9" customFormat="1" x14ac:dyDescent="0.2">
      <c r="A59" s="321" t="str">
        <f>+'1-10'!C90</f>
        <v>TLB BELL 315 SJ 4X4 [063]</v>
      </c>
      <c r="B59" s="61" t="str">
        <f>+'1-10'!R90</f>
        <v>CMF 761 L</v>
      </c>
      <c r="C59" s="54">
        <v>689</v>
      </c>
      <c r="D59" s="46">
        <v>1000</v>
      </c>
      <c r="E59" s="62">
        <f>+D59/P59*(CALC!$A$4)</f>
        <v>106666.66666666667</v>
      </c>
      <c r="F59" s="37">
        <v>3000</v>
      </c>
      <c r="G59" s="37">
        <f>33000*(1+CALC!$A$2)</f>
        <v>23925</v>
      </c>
      <c r="H59" s="37">
        <f>153000</f>
        <v>153000</v>
      </c>
      <c r="I59" s="37">
        <v>0</v>
      </c>
      <c r="J59" s="37"/>
      <c r="K59" s="37">
        <v>600</v>
      </c>
      <c r="L59" s="37"/>
      <c r="M59" s="37">
        <f>SUM(E59:L59)</f>
        <v>287191.66666666669</v>
      </c>
      <c r="N59" s="32">
        <f>M59/CALC!$A$8*CALC!$A$6</f>
        <v>10928.975326173926</v>
      </c>
      <c r="O59" s="37">
        <f>+M59+N59</f>
        <v>298120.64199284062</v>
      </c>
      <c r="P59" s="48">
        <v>0.15</v>
      </c>
      <c r="Q59" s="49"/>
    </row>
    <row r="60" spans="1:20" s="9" customFormat="1" x14ac:dyDescent="0.2">
      <c r="A60" s="321" t="str">
        <f>+'1-10'!C91</f>
        <v>TLB BELL 315 SJ 4X4 [063]</v>
      </c>
      <c r="B60" s="61" t="str">
        <f>+'1-10'!R91</f>
        <v>CMF 759 L</v>
      </c>
      <c r="C60" s="54">
        <v>690</v>
      </c>
      <c r="D60" s="46">
        <v>1000</v>
      </c>
      <c r="E60" s="62">
        <f>+D60/P60*(CALC!$A$4)</f>
        <v>106666.66666666667</v>
      </c>
      <c r="F60" s="37">
        <v>3000</v>
      </c>
      <c r="G60" s="37">
        <f>33000*(1+CALC!$A$2)</f>
        <v>23925</v>
      </c>
      <c r="H60" s="37">
        <f>153000</f>
        <v>153000</v>
      </c>
      <c r="I60" s="37">
        <v>64108.41</v>
      </c>
      <c r="J60" s="37"/>
      <c r="K60" s="37">
        <v>600</v>
      </c>
      <c r="L60" s="37"/>
      <c r="M60" s="37">
        <f>SUM(E60:L60)</f>
        <v>351300.07666666666</v>
      </c>
      <c r="N60" s="32">
        <f>M60/CALC!$A$8*CALC!$A$6</f>
        <v>13368.597754019123</v>
      </c>
      <c r="O60" s="37">
        <f>+M60+N60</f>
        <v>364668.6744206858</v>
      </c>
      <c r="P60" s="48">
        <v>0.15</v>
      </c>
      <c r="Q60" s="49"/>
    </row>
    <row r="61" spans="1:20" s="10" customFormat="1" x14ac:dyDescent="0.2">
      <c r="A61" s="63"/>
      <c r="B61" s="3" t="s">
        <v>14</v>
      </c>
      <c r="C61" s="136"/>
      <c r="D61" s="137">
        <f>SUM(D59:D60)</f>
        <v>2000</v>
      </c>
      <c r="E61" s="32">
        <f t="shared" ref="E61:O61" si="9">SUM(E59:E60)</f>
        <v>213333.33333333334</v>
      </c>
      <c r="F61" s="32">
        <f t="shared" si="9"/>
        <v>6000</v>
      </c>
      <c r="G61" s="32">
        <f t="shared" si="9"/>
        <v>47850</v>
      </c>
      <c r="H61" s="32">
        <f t="shared" si="9"/>
        <v>306000</v>
      </c>
      <c r="I61" s="32">
        <f t="shared" si="9"/>
        <v>64108.41</v>
      </c>
      <c r="J61" s="32">
        <f t="shared" si="9"/>
        <v>0</v>
      </c>
      <c r="K61" s="32">
        <f t="shared" si="9"/>
        <v>1200</v>
      </c>
      <c r="L61" s="14">
        <f t="shared" ref="L61" si="10">+L59+L60</f>
        <v>0</v>
      </c>
      <c r="M61" s="32">
        <f t="shared" si="9"/>
        <v>638491.7433333334</v>
      </c>
      <c r="N61" s="32">
        <f t="shared" si="9"/>
        <v>24297.573080193048</v>
      </c>
      <c r="O61" s="32">
        <f t="shared" si="9"/>
        <v>662789.31641352642</v>
      </c>
      <c r="P61" s="50"/>
      <c r="Q61" s="51">
        <f>(+O61/D61)*(1+CALC!$A$3)</f>
        <v>331.39465820676321</v>
      </c>
    </row>
    <row r="62" spans="1:20" s="9" customFormat="1" ht="12" thickBot="1" x14ac:dyDescent="0.25">
      <c r="C62" s="153"/>
      <c r="D62" s="23"/>
      <c r="P62" s="65"/>
      <c r="Q62" s="49"/>
    </row>
    <row r="63" spans="1:20" s="9" customFormat="1" ht="12" thickBot="1" x14ac:dyDescent="0.25">
      <c r="A63" s="330" t="s">
        <v>10</v>
      </c>
      <c r="B63" s="331" t="s">
        <v>496</v>
      </c>
      <c r="C63" s="153"/>
      <c r="D63" s="568" t="s">
        <v>450</v>
      </c>
      <c r="E63" s="569"/>
      <c r="F63" s="570"/>
      <c r="P63" s="65"/>
      <c r="Q63" s="49"/>
    </row>
    <row r="64" spans="1:20" s="9" customFormat="1" x14ac:dyDescent="0.2">
      <c r="C64" s="153"/>
      <c r="D64" s="23"/>
      <c r="P64" s="65"/>
      <c r="Q64" s="49"/>
    </row>
    <row r="65" spans="1:20" s="9" customFormat="1" x14ac:dyDescent="0.2">
      <c r="A65" s="321" t="str">
        <f>+'1-10'!C92</f>
        <v>ROLLER VOLVO SD100DC [063]</v>
      </c>
      <c r="B65" s="61" t="str">
        <f>+'1-10'!R92</f>
        <v>58024</v>
      </c>
      <c r="C65" s="54">
        <v>691</v>
      </c>
      <c r="D65" s="46">
        <v>1000</v>
      </c>
      <c r="E65" s="62">
        <f>+D65/P65*(CALC!$A$4)</f>
        <v>106666.66666666667</v>
      </c>
      <c r="F65" s="37">
        <v>3000</v>
      </c>
      <c r="G65" s="37">
        <f>33000*(1+CALC!$A$2)</f>
        <v>23925</v>
      </c>
      <c r="H65" s="37">
        <f>115000</f>
        <v>115000</v>
      </c>
      <c r="I65" s="566">
        <v>169375.69</v>
      </c>
      <c r="J65" s="37"/>
      <c r="K65" s="91">
        <v>0</v>
      </c>
      <c r="L65" s="37"/>
      <c r="M65" s="37">
        <f>SUM(E65:L65)</f>
        <v>417967.35666666669</v>
      </c>
      <c r="N65" s="32">
        <f>M65/CALC!$A$8*CALC!$A$6</f>
        <v>15905.597057097075</v>
      </c>
      <c r="O65" s="37">
        <f>+M65+N65</f>
        <v>433872.95372376376</v>
      </c>
      <c r="P65" s="48">
        <v>0.15</v>
      </c>
      <c r="Q65" s="49"/>
    </row>
    <row r="66" spans="1:20" s="9" customFormat="1" x14ac:dyDescent="0.2">
      <c r="A66" s="321" t="str">
        <f>+'1-10'!C93</f>
        <v>ROLLER VOLVO SD100DC [063]</v>
      </c>
      <c r="B66" s="61" t="str">
        <f>+'1-10'!R93</f>
        <v>58026</v>
      </c>
      <c r="C66" s="54">
        <v>692</v>
      </c>
      <c r="D66" s="46">
        <v>1000</v>
      </c>
      <c r="E66" s="62">
        <f>+D66/P66*(CALC!$A$4)</f>
        <v>106666.66666666667</v>
      </c>
      <c r="F66" s="37">
        <v>3000</v>
      </c>
      <c r="G66" s="37">
        <f>33000*(1+CALC!$A$2)</f>
        <v>23925</v>
      </c>
      <c r="H66" s="37">
        <f>115000</f>
        <v>115000</v>
      </c>
      <c r="I66" s="566">
        <v>169375.69</v>
      </c>
      <c r="J66" s="37"/>
      <c r="K66" s="91">
        <v>0</v>
      </c>
      <c r="L66" s="37"/>
      <c r="M66" s="37">
        <f>SUM(E66:L66)</f>
        <v>417967.35666666669</v>
      </c>
      <c r="N66" s="32">
        <f>M66/CALC!$A$8*CALC!$A$6</f>
        <v>15905.597057097075</v>
      </c>
      <c r="O66" s="37">
        <f>+M66+N66</f>
        <v>433872.95372376376</v>
      </c>
      <c r="P66" s="48">
        <v>0.15</v>
      </c>
      <c r="Q66" s="49"/>
    </row>
    <row r="67" spans="1:20" s="10" customFormat="1" x14ac:dyDescent="0.2">
      <c r="A67" s="63"/>
      <c r="B67" s="3" t="s">
        <v>14</v>
      </c>
      <c r="C67" s="136"/>
      <c r="D67" s="137">
        <f t="shared" ref="D67:K67" si="11">SUM(D65:D66)</f>
        <v>2000</v>
      </c>
      <c r="E67" s="32">
        <f t="shared" si="11"/>
        <v>213333.33333333334</v>
      </c>
      <c r="F67" s="32">
        <f t="shared" si="11"/>
        <v>6000</v>
      </c>
      <c r="G67" s="32">
        <f t="shared" si="11"/>
        <v>47850</v>
      </c>
      <c r="H67" s="32">
        <f t="shared" si="11"/>
        <v>230000</v>
      </c>
      <c r="I67" s="32">
        <f t="shared" si="11"/>
        <v>338751.38</v>
      </c>
      <c r="J67" s="32">
        <f t="shared" si="11"/>
        <v>0</v>
      </c>
      <c r="K67" s="32">
        <f t="shared" si="11"/>
        <v>0</v>
      </c>
      <c r="L67" s="14">
        <f t="shared" ref="L67" si="12">+L65+L66</f>
        <v>0</v>
      </c>
      <c r="M67" s="32">
        <f>SUM(M65:M66)</f>
        <v>835934.71333333338</v>
      </c>
      <c r="N67" s="32">
        <f>M67/CALC!$A$8*CALC!$A$6</f>
        <v>31811.19411419415</v>
      </c>
      <c r="O67" s="32">
        <f>+M67+N67</f>
        <v>867745.90744752751</v>
      </c>
      <c r="P67" s="50"/>
      <c r="Q67" s="51">
        <f>(+O67/D67)*(1+CALC!$A$3)</f>
        <v>433.87295372376377</v>
      </c>
    </row>
    <row r="68" spans="1:20" s="9" customFormat="1" ht="12" thickBot="1" x14ac:dyDescent="0.25">
      <c r="C68" s="153"/>
      <c r="D68" s="23"/>
      <c r="P68" s="65"/>
      <c r="Q68" s="49"/>
    </row>
    <row r="69" spans="1:20" s="9" customFormat="1" ht="12" thickBot="1" x14ac:dyDescent="0.25">
      <c r="A69" s="330" t="s">
        <v>10</v>
      </c>
      <c r="B69" s="331" t="s">
        <v>497</v>
      </c>
      <c r="C69" s="153"/>
      <c r="D69" s="568" t="s">
        <v>452</v>
      </c>
      <c r="E69" s="569"/>
      <c r="F69" s="570"/>
      <c r="P69" s="65"/>
      <c r="Q69" s="49"/>
    </row>
    <row r="70" spans="1:20" s="9" customFormat="1" x14ac:dyDescent="0.2">
      <c r="C70" s="153"/>
      <c r="D70" s="23"/>
      <c r="P70" s="65"/>
      <c r="Q70" s="49"/>
    </row>
    <row r="71" spans="1:20" s="9" customFormat="1" x14ac:dyDescent="0.2">
      <c r="A71" s="324" t="str">
        <f>+'1-10'!C94</f>
        <v>ISUZU FSR800 WATER TANKER [063]</v>
      </c>
      <c r="B71" s="61" t="str">
        <f>+'1-10'!R94</f>
        <v>CNC 461 L</v>
      </c>
      <c r="C71" s="54">
        <v>693</v>
      </c>
      <c r="D71" s="46">
        <v>10000</v>
      </c>
      <c r="E71" s="62">
        <f>+D71/2.5*11.5</f>
        <v>46000</v>
      </c>
      <c r="F71" s="37">
        <v>3000</v>
      </c>
      <c r="G71" s="37">
        <f>33000*(1+CALC!$A$2)</f>
        <v>23925</v>
      </c>
      <c r="H71" s="37">
        <f>95000</f>
        <v>95000</v>
      </c>
      <c r="I71" s="37">
        <v>67302.240000000005</v>
      </c>
      <c r="J71" s="37"/>
      <c r="K71" s="37">
        <v>10200</v>
      </c>
      <c r="L71" s="37"/>
      <c r="M71" s="37">
        <f>SUM(E71:L71)</f>
        <v>245427.24</v>
      </c>
      <c r="N71" s="32">
        <f>M71/CALC!$A$8*CALC!$A$6</f>
        <v>9339.6451278099976</v>
      </c>
      <c r="O71" s="37">
        <f>+M71+N71</f>
        <v>254766.88512780998</v>
      </c>
      <c r="P71" s="48">
        <v>0.15</v>
      </c>
      <c r="Q71" s="49"/>
    </row>
    <row r="72" spans="1:20" s="9" customFormat="1" x14ac:dyDescent="0.2">
      <c r="A72" s="324" t="str">
        <f>+'1-10'!C95</f>
        <v>ISUZU FSR800 WATER TANKER [063]</v>
      </c>
      <c r="B72" s="61" t="str">
        <f>+'1-10'!R95</f>
        <v>CPP 523 L</v>
      </c>
      <c r="C72" s="54">
        <v>694</v>
      </c>
      <c r="D72" s="46">
        <v>5000</v>
      </c>
      <c r="E72" s="62">
        <f>+D72/2.5*11.5</f>
        <v>23000</v>
      </c>
      <c r="F72" s="37">
        <v>3000</v>
      </c>
      <c r="G72" s="37">
        <f>33000*(1+CALC!$A$2)</f>
        <v>23925</v>
      </c>
      <c r="H72" s="37">
        <f>95000</f>
        <v>95000</v>
      </c>
      <c r="I72" s="567">
        <v>67302.17</v>
      </c>
      <c r="J72" s="37"/>
      <c r="K72" s="37">
        <v>10200</v>
      </c>
      <c r="L72" s="37"/>
      <c r="M72" s="37">
        <f>SUM(E72:L72)</f>
        <v>222427.16999999998</v>
      </c>
      <c r="N72" s="32">
        <f>M72/CALC!$A$8*CALC!$A$6</f>
        <v>8464.38575678505</v>
      </c>
      <c r="O72" s="37">
        <f>+M72+N72</f>
        <v>230891.55575678503</v>
      </c>
      <c r="P72" s="48">
        <v>0.15</v>
      </c>
      <c r="Q72" s="49"/>
    </row>
    <row r="73" spans="1:20" s="10" customFormat="1" x14ac:dyDescent="0.2">
      <c r="A73" s="63"/>
      <c r="B73" s="3" t="s">
        <v>14</v>
      </c>
      <c r="C73" s="136"/>
      <c r="D73" s="137">
        <f t="shared" ref="D73:K73" si="13">SUM(D71:D72)</f>
        <v>15000</v>
      </c>
      <c r="E73" s="32">
        <f t="shared" si="13"/>
        <v>69000</v>
      </c>
      <c r="F73" s="32">
        <f t="shared" si="13"/>
        <v>6000</v>
      </c>
      <c r="G73" s="32">
        <f t="shared" si="13"/>
        <v>47850</v>
      </c>
      <c r="H73" s="32">
        <f t="shared" si="13"/>
        <v>190000</v>
      </c>
      <c r="I73" s="32">
        <f t="shared" si="13"/>
        <v>134604.41</v>
      </c>
      <c r="J73" s="32">
        <f t="shared" si="13"/>
        <v>0</v>
      </c>
      <c r="K73" s="32">
        <f t="shared" si="13"/>
        <v>20400</v>
      </c>
      <c r="L73" s="14">
        <f t="shared" ref="L73" si="14">+L71+L72</f>
        <v>0</v>
      </c>
      <c r="M73" s="32">
        <f>SUM(M71:M72)</f>
        <v>467854.41</v>
      </c>
      <c r="N73" s="32">
        <f>M73/CALC!$A$8*CALC!$A$6</f>
        <v>17804.030884595049</v>
      </c>
      <c r="O73" s="32">
        <f>+M73+N73</f>
        <v>485658.44088459504</v>
      </c>
      <c r="P73" s="50"/>
      <c r="Q73" s="51">
        <f>(+O73/D73)*(1+CALC!$A$3)</f>
        <v>32.377229392306333</v>
      </c>
    </row>
    <row r="74" spans="1:20" s="9" customFormat="1" ht="12" thickBot="1" x14ac:dyDescent="0.25">
      <c r="C74" s="153"/>
      <c r="D74" s="23"/>
      <c r="P74" s="65"/>
      <c r="Q74" s="49"/>
    </row>
    <row r="75" spans="1:20" s="9" customFormat="1" ht="12" thickBot="1" x14ac:dyDescent="0.25">
      <c r="A75" s="330" t="s">
        <v>10</v>
      </c>
      <c r="B75" s="331" t="s">
        <v>498</v>
      </c>
      <c r="C75" s="153"/>
      <c r="D75" s="568" t="s">
        <v>451</v>
      </c>
      <c r="E75" s="569"/>
      <c r="F75" s="570"/>
      <c r="P75" s="65"/>
      <c r="Q75" s="49"/>
    </row>
    <row r="76" spans="1:20" s="9" customFormat="1" x14ac:dyDescent="0.2">
      <c r="C76" s="153"/>
      <c r="D76" s="23"/>
      <c r="P76" s="65"/>
      <c r="Q76" s="49"/>
    </row>
    <row r="77" spans="1:20" s="9" customFormat="1" x14ac:dyDescent="0.2">
      <c r="A77" s="324" t="str">
        <f>+'1-10'!C96</f>
        <v>TIPPER TRUCK TATA 1518LPK [063]</v>
      </c>
      <c r="B77" s="61" t="str">
        <f>+'1-10'!R96</f>
        <v>CNG 476 L</v>
      </c>
      <c r="C77" s="54">
        <v>695</v>
      </c>
      <c r="D77" s="46">
        <v>10000</v>
      </c>
      <c r="E77" s="62">
        <f>+D77/2.5*11.5</f>
        <v>46000</v>
      </c>
      <c r="F77" s="37">
        <v>3000</v>
      </c>
      <c r="G77" s="37">
        <f>6058*(1+CALC!$A$2)</f>
        <v>4392.05</v>
      </c>
      <c r="H77" s="37">
        <f>95000</f>
        <v>95000</v>
      </c>
      <c r="I77" s="37">
        <v>34916.67</v>
      </c>
      <c r="J77" s="37"/>
      <c r="K77" s="37">
        <v>17160</v>
      </c>
      <c r="L77" s="37"/>
      <c r="M77" s="37">
        <f>SUM(E77:L77)</f>
        <v>200468.71999999997</v>
      </c>
      <c r="N77" s="32">
        <f>M77/CALC!$A$8*CALC!$A$6</f>
        <v>7628.7648592972264</v>
      </c>
      <c r="O77" s="37">
        <f>+M77+N77</f>
        <v>208097.4848592972</v>
      </c>
      <c r="P77" s="48">
        <v>0.15</v>
      </c>
      <c r="Q77" s="49"/>
    </row>
    <row r="78" spans="1:20" s="9" customFormat="1" x14ac:dyDescent="0.2">
      <c r="A78" s="324" t="str">
        <f>+'1-10'!C97</f>
        <v>TIPPER TRUCK TATA 1518LPK [063]</v>
      </c>
      <c r="B78" s="61" t="str">
        <f>+'1-10'!R97</f>
        <v>CNG 464 L</v>
      </c>
      <c r="C78" s="54">
        <v>696</v>
      </c>
      <c r="D78" s="46">
        <v>10000</v>
      </c>
      <c r="E78" s="62">
        <f>+D78/2.5*11.5</f>
        <v>46000</v>
      </c>
      <c r="F78" s="37">
        <v>3000</v>
      </c>
      <c r="G78" s="37">
        <f>6058*(1+CALC!$A$2)</f>
        <v>4392.05</v>
      </c>
      <c r="H78" s="37">
        <f>95000</f>
        <v>95000</v>
      </c>
      <c r="I78" s="37">
        <v>34916.67</v>
      </c>
      <c r="J78" s="37"/>
      <c r="K78" s="37">
        <v>17160</v>
      </c>
      <c r="L78" s="37"/>
      <c r="M78" s="37">
        <f>SUM(E78:L78)</f>
        <v>200468.71999999997</v>
      </c>
      <c r="N78" s="32">
        <f>M78/CALC!$A$8*CALC!$A$6</f>
        <v>7628.7648592972264</v>
      </c>
      <c r="O78" s="37">
        <f>+M78+N78</f>
        <v>208097.4848592972</v>
      </c>
      <c r="P78" s="48">
        <v>0.15</v>
      </c>
      <c r="Q78" s="49"/>
      <c r="R78" s="25"/>
      <c r="S78" s="25"/>
      <c r="T78" s="25"/>
    </row>
    <row r="79" spans="1:20" s="9" customFormat="1" x14ac:dyDescent="0.2">
      <c r="A79" s="324" t="str">
        <f>+'1-10'!C98</f>
        <v>TIPPER TRUCK TATA 1518LPK [063]</v>
      </c>
      <c r="B79" s="61" t="str">
        <f>+'1-10'!R98</f>
        <v>CNG 468 L</v>
      </c>
      <c r="C79" s="54">
        <v>697</v>
      </c>
      <c r="D79" s="46">
        <v>10000</v>
      </c>
      <c r="E79" s="62">
        <f>+D79/2.5*11.5</f>
        <v>46000</v>
      </c>
      <c r="F79" s="37">
        <v>3000</v>
      </c>
      <c r="G79" s="37">
        <f>6058*(1+CALC!$A$2)</f>
        <v>4392.05</v>
      </c>
      <c r="H79" s="37">
        <f>95000</f>
        <v>95000</v>
      </c>
      <c r="I79" s="37">
        <v>34916.67</v>
      </c>
      <c r="J79" s="37"/>
      <c r="K79" s="37">
        <v>17160</v>
      </c>
      <c r="L79" s="37"/>
      <c r="M79" s="37">
        <f>SUM(E79:L79)</f>
        <v>200468.71999999997</v>
      </c>
      <c r="N79" s="32">
        <f>M79/CALC!$A$8*CALC!$A$6</f>
        <v>7628.7648592972264</v>
      </c>
      <c r="O79" s="37">
        <f>+M79+N79</f>
        <v>208097.4848592972</v>
      </c>
      <c r="P79" s="48">
        <v>0.15</v>
      </c>
      <c r="Q79" s="49"/>
    </row>
    <row r="80" spans="1:20" s="9" customFormat="1" x14ac:dyDescent="0.2">
      <c r="A80" s="324" t="str">
        <f>+'1-10'!C99</f>
        <v>TIPPER TRUCK TATA 1518LPK [063]</v>
      </c>
      <c r="B80" s="61" t="str">
        <f>+'1-10'!R99</f>
        <v>CNG 480 L</v>
      </c>
      <c r="C80" s="54">
        <v>698</v>
      </c>
      <c r="D80" s="46">
        <v>10000</v>
      </c>
      <c r="E80" s="62">
        <f>+D80/2.5*11.5</f>
        <v>46000</v>
      </c>
      <c r="F80" s="37">
        <v>3000</v>
      </c>
      <c r="G80" s="37">
        <f>6058*(1+CALC!$A$2)</f>
        <v>4392.05</v>
      </c>
      <c r="H80" s="37">
        <f>95000</f>
        <v>95000</v>
      </c>
      <c r="I80" s="37">
        <v>34916.67</v>
      </c>
      <c r="J80" s="37"/>
      <c r="K80" s="37">
        <v>17160</v>
      </c>
      <c r="L80" s="37"/>
      <c r="M80" s="37">
        <f>SUM(E80:L80)</f>
        <v>200468.71999999997</v>
      </c>
      <c r="N80" s="32">
        <f>M80/CALC!$A$8*CALC!$A$6</f>
        <v>7628.7648592972264</v>
      </c>
      <c r="O80" s="37">
        <f>+M80+N80</f>
        <v>208097.4848592972</v>
      </c>
      <c r="P80" s="48">
        <v>0.15</v>
      </c>
      <c r="Q80" s="49"/>
    </row>
    <row r="81" spans="1:17" s="10" customFormat="1" x14ac:dyDescent="0.2">
      <c r="A81" s="63"/>
      <c r="B81" s="3" t="s">
        <v>14</v>
      </c>
      <c r="C81" s="136"/>
      <c r="D81" s="137">
        <f t="shared" ref="D81:O81" si="15">SUM(D77:D80)</f>
        <v>40000</v>
      </c>
      <c r="E81" s="32">
        <f t="shared" si="15"/>
        <v>184000</v>
      </c>
      <c r="F81" s="32">
        <f t="shared" si="15"/>
        <v>12000</v>
      </c>
      <c r="G81" s="32">
        <f t="shared" si="15"/>
        <v>17568.2</v>
      </c>
      <c r="H81" s="32">
        <f t="shared" si="15"/>
        <v>380000</v>
      </c>
      <c r="I81" s="32">
        <f t="shared" si="15"/>
        <v>139666.68</v>
      </c>
      <c r="J81" s="32">
        <f t="shared" si="15"/>
        <v>0</v>
      </c>
      <c r="K81" s="546">
        <f t="shared" si="15"/>
        <v>68640</v>
      </c>
      <c r="L81" s="32">
        <f t="shared" si="15"/>
        <v>0</v>
      </c>
      <c r="M81" s="32">
        <f t="shared" si="15"/>
        <v>801874.87999999989</v>
      </c>
      <c r="N81" s="32">
        <f t="shared" si="15"/>
        <v>30515.059437188906</v>
      </c>
      <c r="O81" s="32">
        <f t="shared" si="15"/>
        <v>832389.93943718879</v>
      </c>
      <c r="P81" s="50"/>
      <c r="Q81" s="51">
        <f>(+O81/D81)*(1+CALC!$A$3)</f>
        <v>20.80974848592972</v>
      </c>
    </row>
    <row r="82" spans="1:17" x14ac:dyDescent="0.2">
      <c r="Q82" s="21"/>
    </row>
    <row r="83" spans="1:17" ht="12" thickBot="1" x14ac:dyDescent="0.25">
      <c r="Q83" s="21"/>
    </row>
    <row r="84" spans="1:17" ht="12" thickBot="1" x14ac:dyDescent="0.25">
      <c r="A84" s="330" t="s">
        <v>10</v>
      </c>
      <c r="B84" s="331" t="s">
        <v>150</v>
      </c>
      <c r="D84" s="568" t="s">
        <v>26</v>
      </c>
      <c r="E84" s="569"/>
      <c r="F84" s="570"/>
      <c r="Q84" s="21"/>
    </row>
    <row r="85" spans="1:17" x14ac:dyDescent="0.2">
      <c r="Q85" s="21"/>
    </row>
    <row r="86" spans="1:17" s="549" customFormat="1" x14ac:dyDescent="0.2">
      <c r="A86" s="542" t="s">
        <v>91</v>
      </c>
      <c r="B86" s="542" t="s">
        <v>171</v>
      </c>
      <c r="C86" s="384">
        <v>99</v>
      </c>
      <c r="D86" s="543">
        <v>25</v>
      </c>
      <c r="E86" s="550">
        <f>+D86/P86*(CALC!$A$4)</f>
        <v>1111.1111111111111</v>
      </c>
      <c r="F86" s="545"/>
      <c r="G86" s="545">
        <f>800*(1+CALC!$A$2)</f>
        <v>580</v>
      </c>
      <c r="H86" s="545">
        <f>3000*(1+CALC!$A$2)</f>
        <v>2175</v>
      </c>
      <c r="I86" s="545"/>
      <c r="J86" s="545"/>
      <c r="K86" s="545">
        <v>468</v>
      </c>
      <c r="L86" s="545"/>
      <c r="M86" s="545">
        <f t="shared" ref="M86:M100" si="16">SUM(E86:L86)</f>
        <v>4334.1111111111113</v>
      </c>
      <c r="N86" s="546">
        <f>M86/CALC!$A$8*CALC!$A$6</f>
        <v>164.93303564134146</v>
      </c>
      <c r="O86" s="545">
        <f>+M86+N86</f>
        <v>4499.0441467524524</v>
      </c>
      <c r="P86" s="547">
        <v>0.36</v>
      </c>
      <c r="Q86" s="548"/>
    </row>
    <row r="87" spans="1:17" s="549" customFormat="1" x14ac:dyDescent="0.2">
      <c r="A87" s="542" t="s">
        <v>38</v>
      </c>
      <c r="B87" s="542" t="s">
        <v>168</v>
      </c>
      <c r="C87" s="384">
        <v>101</v>
      </c>
      <c r="D87" s="543">
        <v>0</v>
      </c>
      <c r="E87" s="550">
        <f>+D87/P87*(CALC!$A$4)</f>
        <v>0</v>
      </c>
      <c r="F87" s="545"/>
      <c r="G87" s="545">
        <f>1800*(1+CALC!$A$2)</f>
        <v>1305</v>
      </c>
      <c r="H87" s="545">
        <f>7000*(1+CALC!$A$2)</f>
        <v>5075</v>
      </c>
      <c r="I87" s="545"/>
      <c r="J87" s="545"/>
      <c r="K87" s="545">
        <v>468</v>
      </c>
      <c r="L87" s="545"/>
      <c r="M87" s="545">
        <f t="shared" si="16"/>
        <v>6848</v>
      </c>
      <c r="N87" s="546">
        <f>M87/CALC!$A$8*CALC!$A$6</f>
        <v>260.59817090899469</v>
      </c>
      <c r="O87" s="562">
        <f>+M87</f>
        <v>6848</v>
      </c>
      <c r="P87" s="547">
        <v>3</v>
      </c>
      <c r="Q87" s="548"/>
    </row>
    <row r="88" spans="1:17" s="549" customFormat="1" x14ac:dyDescent="0.2">
      <c r="A88" s="542" t="s">
        <v>86</v>
      </c>
      <c r="B88" s="542" t="s">
        <v>162</v>
      </c>
      <c r="C88" s="384">
        <v>102</v>
      </c>
      <c r="D88" s="543">
        <v>0</v>
      </c>
      <c r="E88" s="550">
        <f>+D88/P88*(CALC!$A$4)</f>
        <v>0</v>
      </c>
      <c r="F88" s="545"/>
      <c r="G88" s="545">
        <f>710*(1+CALC!$A$2)</f>
        <v>514.75</v>
      </c>
      <c r="H88" s="545">
        <f>3100*(1+CALC!$A$2)</f>
        <v>2247.5</v>
      </c>
      <c r="I88" s="545"/>
      <c r="J88" s="545"/>
      <c r="K88" s="545">
        <v>468</v>
      </c>
      <c r="L88" s="545"/>
      <c r="M88" s="545">
        <f t="shared" si="16"/>
        <v>3230.25</v>
      </c>
      <c r="N88" s="546">
        <f>M88/CALC!$A$8*CALC!$A$6</f>
        <v>122.92599906232188</v>
      </c>
      <c r="O88" s="545">
        <f>+M88+N88</f>
        <v>3353.1759990623218</v>
      </c>
      <c r="P88" s="547">
        <v>0.36</v>
      </c>
      <c r="Q88" s="548"/>
    </row>
    <row r="89" spans="1:17" s="549" customFormat="1" x14ac:dyDescent="0.2">
      <c r="A89" s="542" t="s">
        <v>95</v>
      </c>
      <c r="B89" s="542" t="s">
        <v>169</v>
      </c>
      <c r="C89" s="384">
        <v>104</v>
      </c>
      <c r="D89" s="543">
        <v>0</v>
      </c>
      <c r="E89" s="550">
        <f>+D89/P89*(CALC!$A$4)</f>
        <v>0</v>
      </c>
      <c r="F89" s="545"/>
      <c r="G89" s="545">
        <f>710*(1+CALC!$A$2)</f>
        <v>514.75</v>
      </c>
      <c r="H89" s="545">
        <f>3100*(1+CALC!$A$2)</f>
        <v>2247.5</v>
      </c>
      <c r="I89" s="545"/>
      <c r="J89" s="545"/>
      <c r="K89" s="545">
        <v>468</v>
      </c>
      <c r="L89" s="545"/>
      <c r="M89" s="545">
        <f t="shared" si="16"/>
        <v>3230.25</v>
      </c>
      <c r="N89" s="546">
        <f>M89/CALC!$A$8*CALC!$A$6</f>
        <v>122.92599906232188</v>
      </c>
      <c r="O89" s="562">
        <f>+M89</f>
        <v>3230.25</v>
      </c>
      <c r="P89" s="547">
        <v>2.5</v>
      </c>
      <c r="Q89" s="548"/>
    </row>
    <row r="90" spans="1:17" s="549" customFormat="1" x14ac:dyDescent="0.2">
      <c r="A90" s="542" t="s">
        <v>96</v>
      </c>
      <c r="B90" s="542" t="s">
        <v>132</v>
      </c>
      <c r="C90" s="384">
        <v>105</v>
      </c>
      <c r="D90" s="543">
        <v>0</v>
      </c>
      <c r="E90" s="550">
        <f>+D90/P90*(CALC!$A$4)</f>
        <v>0</v>
      </c>
      <c r="F90" s="545"/>
      <c r="G90" s="545">
        <f>710*(1+CALC!$A$2)</f>
        <v>514.75</v>
      </c>
      <c r="H90" s="545">
        <f>3100*(1+CALC!$A$2)</f>
        <v>2247.5</v>
      </c>
      <c r="I90" s="545"/>
      <c r="J90" s="545"/>
      <c r="K90" s="545">
        <v>468</v>
      </c>
      <c r="L90" s="545"/>
      <c r="M90" s="545">
        <f t="shared" si="16"/>
        <v>3230.25</v>
      </c>
      <c r="N90" s="546">
        <f>M90/CALC!$A$8*CALC!$A$6</f>
        <v>122.92599906232188</v>
      </c>
      <c r="O90" s="562">
        <f>+M90</f>
        <v>3230.25</v>
      </c>
      <c r="P90" s="547">
        <v>1.8</v>
      </c>
      <c r="Q90" s="548"/>
    </row>
    <row r="91" spans="1:17" s="549" customFormat="1" x14ac:dyDescent="0.2">
      <c r="A91" s="542" t="s">
        <v>97</v>
      </c>
      <c r="B91" s="542" t="s">
        <v>170</v>
      </c>
      <c r="C91" s="384">
        <v>106</v>
      </c>
      <c r="D91" s="543">
        <v>0</v>
      </c>
      <c r="E91" s="550">
        <f>+D91/P91*(CALC!$A$4)</f>
        <v>0</v>
      </c>
      <c r="F91" s="545"/>
      <c r="G91" s="545">
        <f>710*(1+CALC!$A$2)</f>
        <v>514.75</v>
      </c>
      <c r="H91" s="545">
        <f>3100*(1+CALC!$A$2)</f>
        <v>2247.5</v>
      </c>
      <c r="I91" s="545"/>
      <c r="J91" s="545"/>
      <c r="K91" s="545">
        <v>468</v>
      </c>
      <c r="L91" s="545"/>
      <c r="M91" s="545">
        <f t="shared" si="16"/>
        <v>3230.25</v>
      </c>
      <c r="N91" s="546">
        <f>M91/CALC!$A$8*CALC!$A$6</f>
        <v>122.92599906232188</v>
      </c>
      <c r="O91" s="562">
        <f>+M91</f>
        <v>3230.25</v>
      </c>
      <c r="P91" s="547">
        <v>2</v>
      </c>
      <c r="Q91" s="548"/>
    </row>
    <row r="92" spans="1:17" s="549" customFormat="1" x14ac:dyDescent="0.2">
      <c r="A92" s="542" t="s">
        <v>89</v>
      </c>
      <c r="B92" s="542" t="s">
        <v>163</v>
      </c>
      <c r="C92" s="384">
        <v>109</v>
      </c>
      <c r="D92" s="543">
        <v>0</v>
      </c>
      <c r="E92" s="550">
        <f>+D92/P92*(CALC!$A$4)</f>
        <v>0</v>
      </c>
      <c r="F92" s="545"/>
      <c r="G92" s="545">
        <f>710*(1+CALC!$A$2)</f>
        <v>514.75</v>
      </c>
      <c r="H92" s="545">
        <f>3100*(1+CALC!$A$2)</f>
        <v>2247.5</v>
      </c>
      <c r="I92" s="545"/>
      <c r="J92" s="545"/>
      <c r="K92" s="545">
        <v>468</v>
      </c>
      <c r="L92" s="545"/>
      <c r="M92" s="545">
        <f t="shared" si="16"/>
        <v>3230.25</v>
      </c>
      <c r="N92" s="546">
        <f>M92/CALC!$A$8*CALC!$A$6</f>
        <v>122.92599906232188</v>
      </c>
      <c r="O92" s="545">
        <f t="shared" ref="O92:O101" si="17">+M92+N92</f>
        <v>3353.1759990623218</v>
      </c>
      <c r="P92" s="547">
        <v>0.1</v>
      </c>
      <c r="Q92" s="548"/>
    </row>
    <row r="93" spans="1:17" s="549" customFormat="1" x14ac:dyDescent="0.2">
      <c r="A93" s="542" t="s">
        <v>25</v>
      </c>
      <c r="B93" s="542" t="s">
        <v>117</v>
      </c>
      <c r="C93" s="384">
        <v>118</v>
      </c>
      <c r="D93" s="543">
        <v>0</v>
      </c>
      <c r="E93" s="550">
        <f>+D93/P93*(CALC!$A$4)</f>
        <v>0</v>
      </c>
      <c r="F93" s="545">
        <v>3000</v>
      </c>
      <c r="G93" s="545">
        <f>5000*(1+CALC!$A$2)</f>
        <v>3625</v>
      </c>
      <c r="H93" s="545">
        <f>25000*(1+CALC!$A$2)</f>
        <v>18125</v>
      </c>
      <c r="I93" s="545"/>
      <c r="J93" s="545"/>
      <c r="K93" s="545">
        <v>468</v>
      </c>
      <c r="L93" s="545"/>
      <c r="M93" s="545">
        <f t="shared" si="16"/>
        <v>25218</v>
      </c>
      <c r="N93" s="546">
        <f>M93/CALC!$A$8*CALC!$A$6</f>
        <v>959.66189748583952</v>
      </c>
      <c r="O93" s="545">
        <f t="shared" si="17"/>
        <v>26177.661897485839</v>
      </c>
      <c r="P93" s="547">
        <v>0.27</v>
      </c>
      <c r="Q93" s="548"/>
    </row>
    <row r="94" spans="1:17" s="549" customFormat="1" x14ac:dyDescent="0.2">
      <c r="A94" s="542" t="s">
        <v>25</v>
      </c>
      <c r="B94" s="542" t="s">
        <v>118</v>
      </c>
      <c r="C94" s="384">
        <v>119</v>
      </c>
      <c r="D94" s="543">
        <v>0</v>
      </c>
      <c r="E94" s="550">
        <f>+D94/P94*(CALC!$A$4)</f>
        <v>0</v>
      </c>
      <c r="F94" s="545">
        <v>3000</v>
      </c>
      <c r="G94" s="545">
        <f>5000*(1+CALC!$A$2)</f>
        <v>3625</v>
      </c>
      <c r="H94" s="545">
        <f>6000*(1+CALC!$A$2)</f>
        <v>4350</v>
      </c>
      <c r="I94" s="545"/>
      <c r="J94" s="545"/>
      <c r="K94" s="545">
        <v>468</v>
      </c>
      <c r="L94" s="545"/>
      <c r="M94" s="545">
        <f t="shared" si="16"/>
        <v>11443</v>
      </c>
      <c r="N94" s="546">
        <f>M94/CALC!$A$8*CALC!$A$6</f>
        <v>435.45923915181464</v>
      </c>
      <c r="O94" s="545">
        <f t="shared" si="17"/>
        <v>11878.459239151814</v>
      </c>
      <c r="P94" s="547">
        <v>0.27</v>
      </c>
      <c r="Q94" s="548"/>
    </row>
    <row r="95" spans="1:17" s="549" customFormat="1" x14ac:dyDescent="0.2">
      <c r="A95" s="542" t="s">
        <v>90</v>
      </c>
      <c r="B95" s="542" t="s">
        <v>119</v>
      </c>
      <c r="C95" s="384">
        <v>120</v>
      </c>
      <c r="D95" s="543">
        <v>300</v>
      </c>
      <c r="E95" s="550">
        <f>+D95/P95*(CALC!$A$4)</f>
        <v>48000</v>
      </c>
      <c r="F95" s="545"/>
      <c r="G95" s="545">
        <f>3000*(1+CALC!$A$2)</f>
        <v>2175</v>
      </c>
      <c r="H95" s="545">
        <f>20000*(1+CALC!$A$2)</f>
        <v>14500</v>
      </c>
      <c r="I95" s="545"/>
      <c r="J95" s="545"/>
      <c r="K95" s="545">
        <v>468</v>
      </c>
      <c r="L95" s="545"/>
      <c r="M95" s="545">
        <f t="shared" si="16"/>
        <v>65143</v>
      </c>
      <c r="N95" s="546">
        <f>M95/CALC!$A$8*CALC!$A$6</f>
        <v>2478.9933772670333</v>
      </c>
      <c r="O95" s="545">
        <f t="shared" si="17"/>
        <v>67621.993377267034</v>
      </c>
      <c r="P95" s="547">
        <v>0.1</v>
      </c>
      <c r="Q95" s="548"/>
    </row>
    <row r="96" spans="1:17" s="549" customFormat="1" x14ac:dyDescent="0.2">
      <c r="A96" s="542" t="s">
        <v>86</v>
      </c>
      <c r="B96" s="542" t="s">
        <v>120</v>
      </c>
      <c r="C96" s="384">
        <v>122</v>
      </c>
      <c r="D96" s="543">
        <v>50</v>
      </c>
      <c r="E96" s="550">
        <f>+D96/P96*(CALC!$A$4)</f>
        <v>6666.666666666667</v>
      </c>
      <c r="F96" s="545"/>
      <c r="G96" s="545">
        <f>3000*(1+CALC!$A$2)</f>
        <v>2175</v>
      </c>
      <c r="H96" s="545">
        <f>2000*(1+CALC!$A$2)</f>
        <v>1450</v>
      </c>
      <c r="I96" s="545"/>
      <c r="J96" s="545"/>
      <c r="K96" s="545">
        <v>468</v>
      </c>
      <c r="L96" s="545"/>
      <c r="M96" s="545">
        <f t="shared" si="16"/>
        <v>10759.666666666668</v>
      </c>
      <c r="N96" s="546">
        <f>M96/CALC!$A$8*CALC!$A$6</f>
        <v>409.45523553209898</v>
      </c>
      <c r="O96" s="545">
        <f t="shared" si="17"/>
        <v>11169.121902198767</v>
      </c>
      <c r="P96" s="547">
        <v>0.12</v>
      </c>
      <c r="Q96" s="548"/>
    </row>
    <row r="97" spans="1:20" s="549" customFormat="1" x14ac:dyDescent="0.2">
      <c r="A97" s="542" t="s">
        <v>86</v>
      </c>
      <c r="B97" s="542" t="s">
        <v>164</v>
      </c>
      <c r="C97" s="384">
        <v>264</v>
      </c>
      <c r="D97" s="543">
        <v>100</v>
      </c>
      <c r="E97" s="550">
        <f>+D97/P97*(CALC!$A$4)</f>
        <v>4444.4444444444443</v>
      </c>
      <c r="F97" s="545"/>
      <c r="G97" s="545">
        <f>800*(1+CALC!$A$2)</f>
        <v>580</v>
      </c>
      <c r="H97" s="545">
        <f>2000*(1+CALC!$A$2)</f>
        <v>1450</v>
      </c>
      <c r="I97" s="545"/>
      <c r="J97" s="545"/>
      <c r="K97" s="545">
        <v>0</v>
      </c>
      <c r="L97" s="545"/>
      <c r="M97" s="545">
        <f t="shared" si="16"/>
        <v>6474.4444444444443</v>
      </c>
      <c r="N97" s="546">
        <f>M97/CALC!$A$8*CALC!$A$6</f>
        <v>246.38264893021682</v>
      </c>
      <c r="O97" s="545">
        <f t="shared" si="17"/>
        <v>6720.8270933746608</v>
      </c>
      <c r="P97" s="547">
        <v>0.36</v>
      </c>
      <c r="Q97" s="548"/>
    </row>
    <row r="98" spans="1:20" s="549" customFormat="1" x14ac:dyDescent="0.2">
      <c r="A98" s="542" t="s">
        <v>86</v>
      </c>
      <c r="B98" s="542" t="s">
        <v>165</v>
      </c>
      <c r="C98" s="384">
        <v>265</v>
      </c>
      <c r="D98" s="543">
        <v>100</v>
      </c>
      <c r="E98" s="550">
        <f>+D98/P98*(CALC!$A$4)</f>
        <v>4444.4444444444443</v>
      </c>
      <c r="F98" s="545"/>
      <c r="G98" s="545">
        <f>800*(1+CALC!$A$2)</f>
        <v>580</v>
      </c>
      <c r="H98" s="545">
        <f>2000*(1+CALC!$A$2)</f>
        <v>1450</v>
      </c>
      <c r="I98" s="545"/>
      <c r="J98" s="545"/>
      <c r="K98" s="545">
        <v>0</v>
      </c>
      <c r="L98" s="545"/>
      <c r="M98" s="545">
        <f t="shared" si="16"/>
        <v>6474.4444444444443</v>
      </c>
      <c r="N98" s="546">
        <f>M98/CALC!$A$8*CALC!$A$6</f>
        <v>246.38264893021682</v>
      </c>
      <c r="O98" s="545">
        <f t="shared" si="17"/>
        <v>6720.8270933746608</v>
      </c>
      <c r="P98" s="547">
        <v>0.36</v>
      </c>
      <c r="Q98" s="548"/>
    </row>
    <row r="99" spans="1:20" s="549" customFormat="1" x14ac:dyDescent="0.2">
      <c r="A99" s="542" t="s">
        <v>86</v>
      </c>
      <c r="B99" s="542" t="s">
        <v>166</v>
      </c>
      <c r="C99" s="384">
        <v>266</v>
      </c>
      <c r="D99" s="543">
        <v>100</v>
      </c>
      <c r="E99" s="550">
        <f>+D99/P99*(CALC!$A$4)</f>
        <v>4444.4444444444443</v>
      </c>
      <c r="F99" s="545"/>
      <c r="G99" s="545">
        <f>800*(1+CALC!$A$2)</f>
        <v>580</v>
      </c>
      <c r="H99" s="545">
        <f>2000*(1+CALC!$A$2)</f>
        <v>1450</v>
      </c>
      <c r="I99" s="545"/>
      <c r="J99" s="545"/>
      <c r="K99" s="545">
        <v>0</v>
      </c>
      <c r="L99" s="545"/>
      <c r="M99" s="545">
        <f t="shared" si="16"/>
        <v>6474.4444444444443</v>
      </c>
      <c r="N99" s="546">
        <f>M99/CALC!$A$8*CALC!$A$6</f>
        <v>246.38264893021682</v>
      </c>
      <c r="O99" s="545">
        <f t="shared" si="17"/>
        <v>6720.8270933746608</v>
      </c>
      <c r="P99" s="547">
        <v>0.36</v>
      </c>
      <c r="Q99" s="548"/>
    </row>
    <row r="100" spans="1:20" s="549" customFormat="1" x14ac:dyDescent="0.2">
      <c r="A100" s="542" t="s">
        <v>86</v>
      </c>
      <c r="B100" s="542" t="s">
        <v>167</v>
      </c>
      <c r="C100" s="384">
        <v>267</v>
      </c>
      <c r="D100" s="543">
        <v>100</v>
      </c>
      <c r="E100" s="550">
        <f>+D100/P100*(CALC!$A$4)</f>
        <v>4444.4444444444443</v>
      </c>
      <c r="F100" s="545"/>
      <c r="G100" s="545">
        <f>800*(1+CALC!$A$2)</f>
        <v>580</v>
      </c>
      <c r="H100" s="545">
        <f>2000*(1+CALC!$A$2)</f>
        <v>1450</v>
      </c>
      <c r="I100" s="545"/>
      <c r="J100" s="545"/>
      <c r="K100" s="545">
        <v>0</v>
      </c>
      <c r="L100" s="545"/>
      <c r="M100" s="545">
        <f t="shared" si="16"/>
        <v>6474.4444444444443</v>
      </c>
      <c r="N100" s="546">
        <f>M100/CALC!$A$8*CALC!$A$6</f>
        <v>246.38264893021682</v>
      </c>
      <c r="O100" s="545">
        <f t="shared" si="17"/>
        <v>6720.8270933746608</v>
      </c>
      <c r="P100" s="547">
        <v>0.36</v>
      </c>
      <c r="Q100" s="548"/>
    </row>
    <row r="101" spans="1:20" s="18" customFormat="1" x14ac:dyDescent="0.2">
      <c r="A101" s="35"/>
      <c r="B101" s="4" t="s">
        <v>14</v>
      </c>
      <c r="C101" s="26"/>
      <c r="D101" s="16">
        <f>SUM(D86:D100)</f>
        <v>775</v>
      </c>
      <c r="E101" s="32">
        <f t="shared" ref="E101:M101" si="18">SUM(E86:E100)</f>
        <v>73555.555555555547</v>
      </c>
      <c r="F101" s="14">
        <f t="shared" si="18"/>
        <v>6000</v>
      </c>
      <c r="G101" s="14">
        <f t="shared" si="18"/>
        <v>18378.75</v>
      </c>
      <c r="H101" s="14">
        <f t="shared" si="18"/>
        <v>62712.5</v>
      </c>
      <c r="I101" s="14">
        <f t="shared" si="18"/>
        <v>0</v>
      </c>
      <c r="J101" s="14"/>
      <c r="K101" s="14">
        <f t="shared" si="18"/>
        <v>5148</v>
      </c>
      <c r="L101" s="14">
        <f t="shared" si="18"/>
        <v>0</v>
      </c>
      <c r="M101" s="14">
        <f t="shared" si="18"/>
        <v>165794.80555555553</v>
      </c>
      <c r="N101" s="14">
        <f>M101/CALC!$A$8*CALC!$A$6</f>
        <v>6309.2615470195979</v>
      </c>
      <c r="O101" s="14">
        <f t="shared" si="17"/>
        <v>172104.06710257512</v>
      </c>
      <c r="P101" s="33"/>
      <c r="Q101" s="135">
        <f>(+O101/D101)*(1+CALC!$A$3)</f>
        <v>222.06976400332275</v>
      </c>
    </row>
    <row r="102" spans="1:20" x14ac:dyDescent="0.2">
      <c r="Q102" s="21"/>
    </row>
    <row r="103" spans="1:20" x14ac:dyDescent="0.2">
      <c r="A103" s="12"/>
      <c r="B103" s="12"/>
      <c r="C103" s="19"/>
      <c r="D103" s="8"/>
      <c r="E103" s="30"/>
      <c r="F103" s="13"/>
      <c r="G103" s="13"/>
      <c r="H103" s="13"/>
      <c r="I103" s="13"/>
      <c r="J103" s="13"/>
      <c r="K103" s="13"/>
      <c r="L103" s="13"/>
      <c r="M103" s="13"/>
      <c r="N103" s="14"/>
      <c r="O103" s="13"/>
      <c r="P103" s="31">
        <v>0.36</v>
      </c>
      <c r="Q103" s="21"/>
    </row>
    <row r="104" spans="1:20" s="18" customFormat="1" x14ac:dyDescent="0.2">
      <c r="A104" s="35"/>
      <c r="B104" s="4"/>
      <c r="C104" s="26"/>
      <c r="D104" s="16"/>
      <c r="E104" s="14">
        <f t="shared" ref="E104:M104" si="19">SUM(E103:E103)</f>
        <v>0</v>
      </c>
      <c r="F104" s="14">
        <f t="shared" si="19"/>
        <v>0</v>
      </c>
      <c r="G104" s="14">
        <f t="shared" si="19"/>
        <v>0</v>
      </c>
      <c r="H104" s="14">
        <f t="shared" si="19"/>
        <v>0</v>
      </c>
      <c r="I104" s="14">
        <f t="shared" si="19"/>
        <v>0</v>
      </c>
      <c r="J104" s="14"/>
      <c r="K104" s="14">
        <f t="shared" si="19"/>
        <v>0</v>
      </c>
      <c r="L104" s="14">
        <f t="shared" si="19"/>
        <v>0</v>
      </c>
      <c r="M104" s="14">
        <f t="shared" si="19"/>
        <v>0</v>
      </c>
      <c r="N104" s="14">
        <f>M104/CALC!$A$8*CALC!$A$6</f>
        <v>0</v>
      </c>
      <c r="O104" s="14">
        <f>+M104+N104</f>
        <v>0</v>
      </c>
      <c r="P104" s="33"/>
      <c r="Q104" s="36"/>
    </row>
    <row r="105" spans="1:20" ht="12" thickBot="1" x14ac:dyDescent="0.25">
      <c r="Q105" s="21"/>
    </row>
    <row r="106" spans="1:20" ht="12" thickBot="1" x14ac:dyDescent="0.25">
      <c r="A106" s="330" t="s">
        <v>10</v>
      </c>
      <c r="B106" s="331" t="s">
        <v>151</v>
      </c>
      <c r="D106" s="568" t="s">
        <v>17</v>
      </c>
      <c r="E106" s="569"/>
      <c r="F106" s="570"/>
      <c r="Q106" s="21"/>
    </row>
    <row r="107" spans="1:20" x14ac:dyDescent="0.2">
      <c r="Q107" s="21"/>
    </row>
    <row r="108" spans="1:20" s="549" customFormat="1" x14ac:dyDescent="0.2">
      <c r="A108" s="542" t="s">
        <v>33</v>
      </c>
      <c r="B108" s="542" t="s">
        <v>100</v>
      </c>
      <c r="C108" s="384">
        <v>150</v>
      </c>
      <c r="D108" s="543">
        <v>50</v>
      </c>
      <c r="E108" s="550">
        <f>+D108/P108*(CALC!$A$4)</f>
        <v>2666.666666666667</v>
      </c>
      <c r="F108" s="545">
        <v>3000</v>
      </c>
      <c r="G108" s="545">
        <f>3000*(1+CALC!$A$2)</f>
        <v>2175</v>
      </c>
      <c r="H108" s="545">
        <f>5000*(1+CALC!$A$2)</f>
        <v>3625</v>
      </c>
      <c r="I108" s="545"/>
      <c r="J108" s="545"/>
      <c r="K108" s="545">
        <v>390</v>
      </c>
      <c r="L108" s="545"/>
      <c r="M108" s="545">
        <f>SUM(E108:L108)</f>
        <v>11856.666666666668</v>
      </c>
      <c r="N108" s="546">
        <f>M108/CALC!$A$8*CALC!$A$6</f>
        <v>451.20117500160359</v>
      </c>
      <c r="O108" s="545">
        <f>+M108+N108</f>
        <v>12307.867841668271</v>
      </c>
      <c r="P108" s="547">
        <v>0.3</v>
      </c>
      <c r="Q108" s="548"/>
      <c r="R108" s="563"/>
      <c r="S108" s="563"/>
      <c r="T108" s="563"/>
    </row>
    <row r="109" spans="1:20" s="549" customFormat="1" x14ac:dyDescent="0.2">
      <c r="A109" s="542" t="s">
        <v>31</v>
      </c>
      <c r="B109" s="542" t="s">
        <v>121</v>
      </c>
      <c r="C109" s="384">
        <v>77</v>
      </c>
      <c r="D109" s="543">
        <v>100</v>
      </c>
      <c r="E109" s="550">
        <f>+D109/P109*(CALC!$A$4)</f>
        <v>8000</v>
      </c>
      <c r="F109" s="545">
        <v>3000</v>
      </c>
      <c r="G109" s="545">
        <f>756*(1+CALC!$A$2)</f>
        <v>548.1</v>
      </c>
      <c r="H109" s="545">
        <f>3100*(1+CALC!$A$2)</f>
        <v>2247.5</v>
      </c>
      <c r="I109" s="545"/>
      <c r="J109" s="545"/>
      <c r="K109" s="545">
        <v>390</v>
      </c>
      <c r="L109" s="545"/>
      <c r="M109" s="545">
        <f>SUM(E109:L109)</f>
        <v>14185.6</v>
      </c>
      <c r="N109" s="546">
        <f>M109/CALC!$A$8*CALC!$A$6</f>
        <v>539.82789328952038</v>
      </c>
      <c r="O109" s="545">
        <f>+M109+N109</f>
        <v>14725.427893289521</v>
      </c>
      <c r="P109" s="547">
        <v>0.2</v>
      </c>
      <c r="Q109" s="548"/>
    </row>
    <row r="110" spans="1:20" s="549" customFormat="1" x14ac:dyDescent="0.2">
      <c r="A110" s="542" t="s">
        <v>92</v>
      </c>
      <c r="B110" s="542" t="s">
        <v>122</v>
      </c>
      <c r="C110" s="384">
        <v>81</v>
      </c>
      <c r="D110" s="543">
        <v>110</v>
      </c>
      <c r="E110" s="550">
        <f>+D110/P110*(CALC!$A$4)</f>
        <v>11000</v>
      </c>
      <c r="F110" s="545">
        <v>3000</v>
      </c>
      <c r="G110" s="545">
        <f>756*(1+CALC!$A$2)</f>
        <v>548.1</v>
      </c>
      <c r="H110" s="545">
        <f>3100*(1+CALC!$A$2)</f>
        <v>2247.5</v>
      </c>
      <c r="I110" s="545"/>
      <c r="J110" s="545"/>
      <c r="K110" s="545">
        <v>390</v>
      </c>
      <c r="L110" s="545"/>
      <c r="M110" s="545">
        <f>SUM(E110:L110)</f>
        <v>17185.599999999999</v>
      </c>
      <c r="N110" s="546">
        <f>M110/CALC!$A$8*CALC!$A$6</f>
        <v>653.99181161997944</v>
      </c>
      <c r="O110" s="545">
        <f>+M110+N110</f>
        <v>17839.591811619979</v>
      </c>
      <c r="P110" s="547">
        <v>0.16</v>
      </c>
      <c r="Q110" s="548"/>
    </row>
    <row r="111" spans="1:20" s="18" customFormat="1" x14ac:dyDescent="0.2">
      <c r="A111" s="35"/>
      <c r="B111" s="4" t="s">
        <v>14</v>
      </c>
      <c r="C111" s="26"/>
      <c r="D111" s="16">
        <f>SUM(D108:D110)</f>
        <v>260</v>
      </c>
      <c r="E111" s="32">
        <f>SUM(E108:E110)</f>
        <v>21666.666666666668</v>
      </c>
      <c r="F111" s="32">
        <f t="shared" ref="F111:O111" si="20">SUM(F108:F110)</f>
        <v>9000</v>
      </c>
      <c r="G111" s="32">
        <f t="shared" si="20"/>
        <v>3271.2</v>
      </c>
      <c r="H111" s="32">
        <f t="shared" si="20"/>
        <v>8120</v>
      </c>
      <c r="I111" s="32">
        <f t="shared" si="20"/>
        <v>0</v>
      </c>
      <c r="J111" s="32">
        <f t="shared" si="20"/>
        <v>0</v>
      </c>
      <c r="K111" s="32">
        <f t="shared" si="20"/>
        <v>1170</v>
      </c>
      <c r="L111" s="32">
        <f t="shared" si="20"/>
        <v>0</v>
      </c>
      <c r="M111" s="32">
        <f t="shared" si="20"/>
        <v>43227.866666666669</v>
      </c>
      <c r="N111" s="32">
        <f t="shared" si="20"/>
        <v>1645.0208799111033</v>
      </c>
      <c r="O111" s="32">
        <f t="shared" si="20"/>
        <v>44872.887546577767</v>
      </c>
      <c r="P111" s="33"/>
      <c r="Q111" s="135">
        <f>(+O111/D111)*(1+CALC!$A$3)</f>
        <v>172.58802902529911</v>
      </c>
    </row>
    <row r="112" spans="1:20" ht="12" thickBot="1" x14ac:dyDescent="0.25">
      <c r="Q112" s="21"/>
    </row>
    <row r="113" spans="1:17" ht="12" thickBot="1" x14ac:dyDescent="0.25">
      <c r="A113" s="330" t="s">
        <v>10</v>
      </c>
      <c r="B113" s="331" t="s">
        <v>152</v>
      </c>
      <c r="D113" s="568" t="s">
        <v>60</v>
      </c>
      <c r="E113" s="569"/>
      <c r="F113" s="570"/>
      <c r="Q113" s="21"/>
    </row>
    <row r="114" spans="1:17" x14ac:dyDescent="0.2">
      <c r="Q114" s="21"/>
    </row>
    <row r="115" spans="1:17" s="549" customFormat="1" x14ac:dyDescent="0.2">
      <c r="A115" s="542" t="s">
        <v>93</v>
      </c>
      <c r="B115" s="542" t="s">
        <v>172</v>
      </c>
      <c r="C115" s="384">
        <v>86</v>
      </c>
      <c r="D115" s="543"/>
      <c r="E115" s="550"/>
      <c r="F115" s="545"/>
      <c r="G115" s="545">
        <f>800*(1+CALC!$A$2)</f>
        <v>580</v>
      </c>
      <c r="H115" s="545">
        <f>1500*(1+CALC!$A$2)</f>
        <v>1087.5</v>
      </c>
      <c r="I115" s="545"/>
      <c r="J115" s="545"/>
      <c r="K115" s="545">
        <v>468</v>
      </c>
      <c r="L115" s="545"/>
      <c r="M115" s="545">
        <f t="shared" ref="M115:M120" si="21">SUM(E115:L115)</f>
        <v>2135.5</v>
      </c>
      <c r="N115" s="546">
        <f>M115/CALC!$A$8*CALC!$A$6</f>
        <v>81.265682531565162</v>
      </c>
      <c r="O115" s="562">
        <f t="shared" ref="O115:O120" si="22">+M115</f>
        <v>2135.5</v>
      </c>
      <c r="P115" s="547"/>
      <c r="Q115" s="548"/>
    </row>
    <row r="116" spans="1:17" s="549" customFormat="1" x14ac:dyDescent="0.2">
      <c r="A116" s="542" t="s">
        <v>16</v>
      </c>
      <c r="B116" s="542" t="s">
        <v>173</v>
      </c>
      <c r="C116" s="384">
        <v>87</v>
      </c>
      <c r="D116" s="543"/>
      <c r="E116" s="550"/>
      <c r="F116" s="545"/>
      <c r="G116" s="545">
        <f>800*(1+CALC!$A$2)</f>
        <v>580</v>
      </c>
      <c r="H116" s="545">
        <f>1500*(1+CALC!$A$2)</f>
        <v>1087.5</v>
      </c>
      <c r="I116" s="545"/>
      <c r="J116" s="545"/>
      <c r="K116" s="545">
        <v>468</v>
      </c>
      <c r="L116" s="545"/>
      <c r="M116" s="545">
        <f t="shared" si="21"/>
        <v>2135.5</v>
      </c>
      <c r="N116" s="546">
        <f>M116/CALC!$A$8*CALC!$A$6</f>
        <v>81.265682531565162</v>
      </c>
      <c r="O116" s="562">
        <f t="shared" si="22"/>
        <v>2135.5</v>
      </c>
      <c r="P116" s="547"/>
      <c r="Q116" s="548"/>
    </row>
    <row r="117" spans="1:17" x14ac:dyDescent="0.2">
      <c r="A117" s="12"/>
      <c r="B117" s="12"/>
      <c r="C117" s="19"/>
      <c r="D117" s="8"/>
      <c r="E117" s="30"/>
      <c r="F117" s="13"/>
      <c r="G117" s="13"/>
      <c r="H117" s="13"/>
      <c r="I117" s="13"/>
      <c r="J117" s="13"/>
      <c r="K117" s="13"/>
      <c r="L117" s="13"/>
      <c r="M117" s="13"/>
      <c r="N117" s="14"/>
      <c r="O117" s="38"/>
      <c r="P117" s="31"/>
      <c r="Q117" s="21"/>
    </row>
    <row r="118" spans="1:17" s="549" customFormat="1" x14ac:dyDescent="0.2">
      <c r="A118" s="542" t="s">
        <v>94</v>
      </c>
      <c r="B118" s="542" t="s">
        <v>174</v>
      </c>
      <c r="C118" s="384">
        <v>89</v>
      </c>
      <c r="D118" s="543"/>
      <c r="E118" s="550"/>
      <c r="F118" s="545"/>
      <c r="G118" s="545">
        <f>800*(1+CALC!$A$2)</f>
        <v>580</v>
      </c>
      <c r="H118" s="545">
        <f>1500*(1+CALC!$A$2)</f>
        <v>1087.5</v>
      </c>
      <c r="I118" s="545"/>
      <c r="J118" s="545"/>
      <c r="K118" s="545">
        <v>468</v>
      </c>
      <c r="L118" s="545"/>
      <c r="M118" s="545">
        <f t="shared" si="21"/>
        <v>2135.5</v>
      </c>
      <c r="N118" s="546">
        <f>M118/CALC!$A$8*CALC!$A$6</f>
        <v>81.265682531565162</v>
      </c>
      <c r="O118" s="562">
        <f t="shared" si="22"/>
        <v>2135.5</v>
      </c>
      <c r="P118" s="547"/>
      <c r="Q118" s="548"/>
    </row>
    <row r="119" spans="1:17" s="549" customFormat="1" x14ac:dyDescent="0.2">
      <c r="A119" s="542" t="s">
        <v>94</v>
      </c>
      <c r="B119" s="542" t="s">
        <v>175</v>
      </c>
      <c r="C119" s="384">
        <v>90</v>
      </c>
      <c r="D119" s="543"/>
      <c r="E119" s="550"/>
      <c r="F119" s="545"/>
      <c r="G119" s="545">
        <f>800*(1+CALC!$A$2)</f>
        <v>580</v>
      </c>
      <c r="H119" s="545">
        <f>1500*(1+CALC!$A$2)</f>
        <v>1087.5</v>
      </c>
      <c r="I119" s="545"/>
      <c r="J119" s="545"/>
      <c r="K119" s="545">
        <v>468</v>
      </c>
      <c r="L119" s="545"/>
      <c r="M119" s="545">
        <f t="shared" si="21"/>
        <v>2135.5</v>
      </c>
      <c r="N119" s="546">
        <f>M119/CALC!$A$8*CALC!$A$6</f>
        <v>81.265682531565162</v>
      </c>
      <c r="O119" s="562">
        <f t="shared" si="22"/>
        <v>2135.5</v>
      </c>
      <c r="P119" s="547"/>
      <c r="Q119" s="548"/>
    </row>
    <row r="120" spans="1:17" s="549" customFormat="1" x14ac:dyDescent="0.2">
      <c r="A120" s="542" t="s">
        <v>94</v>
      </c>
      <c r="B120" s="542" t="s">
        <v>176</v>
      </c>
      <c r="C120" s="384">
        <v>91</v>
      </c>
      <c r="D120" s="543"/>
      <c r="E120" s="550"/>
      <c r="F120" s="545"/>
      <c r="G120" s="545">
        <f>800*(1+CALC!$A$2)</f>
        <v>580</v>
      </c>
      <c r="H120" s="545">
        <f>1500*(1+CALC!$A$2)</f>
        <v>1087.5</v>
      </c>
      <c r="I120" s="545"/>
      <c r="J120" s="545"/>
      <c r="K120" s="545">
        <v>468</v>
      </c>
      <c r="L120" s="545"/>
      <c r="M120" s="545">
        <f t="shared" si="21"/>
        <v>2135.5</v>
      </c>
      <c r="N120" s="546">
        <f>M120/CALC!$A$8*CALC!$A$6</f>
        <v>81.265682531565162</v>
      </c>
      <c r="O120" s="562">
        <f t="shared" si="22"/>
        <v>2135.5</v>
      </c>
      <c r="P120" s="547"/>
      <c r="Q120" s="548"/>
    </row>
    <row r="121" spans="1:17" s="18" customFormat="1" x14ac:dyDescent="0.2">
      <c r="A121" s="35"/>
      <c r="B121" s="4" t="s">
        <v>14</v>
      </c>
      <c r="C121" s="26"/>
      <c r="D121" s="16">
        <f t="shared" ref="D121:K121" si="23">SUM(D115:D120)</f>
        <v>0</v>
      </c>
      <c r="E121" s="14">
        <f t="shared" si="23"/>
        <v>0</v>
      </c>
      <c r="F121" s="14">
        <f t="shared" si="23"/>
        <v>0</v>
      </c>
      <c r="G121" s="14">
        <f t="shared" si="23"/>
        <v>2900</v>
      </c>
      <c r="H121" s="14">
        <f t="shared" si="23"/>
        <v>5437.5</v>
      </c>
      <c r="I121" s="14">
        <f t="shared" si="23"/>
        <v>0</v>
      </c>
      <c r="J121" s="14"/>
      <c r="K121" s="14">
        <f t="shared" si="23"/>
        <v>2340</v>
      </c>
      <c r="L121" s="14">
        <f>SUM(L115:L120)</f>
        <v>0</v>
      </c>
      <c r="M121" s="14">
        <f>SUM(M115:M120)</f>
        <v>10677.5</v>
      </c>
      <c r="N121" s="14">
        <f>M121/CALC!$A$8*CALC!$A$6</f>
        <v>406.32841265782582</v>
      </c>
      <c r="O121" s="14">
        <f>+M121+N121</f>
        <v>11083.828412657826</v>
      </c>
      <c r="P121" s="33"/>
      <c r="Q121" s="36"/>
    </row>
    <row r="122" spans="1:17" s="18" customFormat="1" ht="12" thickBot="1" x14ac:dyDescent="0.25">
      <c r="A122" s="35"/>
      <c r="B122" s="35"/>
      <c r="C122" s="39"/>
      <c r="D122" s="40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36"/>
    </row>
    <row r="123" spans="1:17" s="18" customFormat="1" ht="12" thickBot="1" x14ac:dyDescent="0.25">
      <c r="A123" s="42" t="s">
        <v>61</v>
      </c>
      <c r="B123" s="73" t="s">
        <v>14</v>
      </c>
      <c r="C123" s="74"/>
      <c r="D123" s="75">
        <f>+D16+D20+D21+D27+D28+D30+D35+D40+D46+D47+D55+D61+D67+D73+D81+D101+D111</f>
        <v>309735</v>
      </c>
      <c r="E123" s="283">
        <f>+E16+E20+E21+E27+E28+E30+E35+E40+E46+E47+E55+E61+E67+E73+E81+E101+E111</f>
        <v>2671542.4170988528</v>
      </c>
      <c r="F123" s="283">
        <f>+F16+F20+F21+F27+F28+F30+F35+F40+F46+F47+F55+F61+F67+F73+F81+F101+F111+F121</f>
        <v>87000</v>
      </c>
      <c r="G123" s="283">
        <f t="shared" ref="G123:O123" si="24">+G16+G20+G21+G27+G28+G30+G35+G40+G46+G47+G55+G61+G67+G73+G81+G101+G111+G121</f>
        <v>289231.31875000003</v>
      </c>
      <c r="H123" s="283">
        <f t="shared" si="24"/>
        <v>3094270</v>
      </c>
      <c r="I123" s="283">
        <f>+I16+I20+I21+I27+I28+I30+I35+I40+I46+I47+I55+I61+I67+I73+I81+I101+I111+I121</f>
        <v>1615588.3449999997</v>
      </c>
      <c r="J123" s="283">
        <f t="shared" si="24"/>
        <v>0</v>
      </c>
      <c r="K123" s="283">
        <f t="shared" si="24"/>
        <v>192858</v>
      </c>
      <c r="L123" s="283">
        <f t="shared" si="24"/>
        <v>0</v>
      </c>
      <c r="M123" s="283">
        <f t="shared" si="24"/>
        <v>7950490.0808488522</v>
      </c>
      <c r="N123" s="283">
        <f t="shared" si="24"/>
        <v>302553.03342571796</v>
      </c>
      <c r="O123" s="283">
        <f t="shared" si="24"/>
        <v>8253043.1142745698</v>
      </c>
      <c r="P123" s="21"/>
      <c r="Q123" s="21"/>
    </row>
    <row r="124" spans="1:17" s="18" customFormat="1" ht="12" thickBot="1" x14ac:dyDescent="0.25">
      <c r="A124" s="35"/>
      <c r="B124" s="35"/>
      <c r="C124" s="39"/>
      <c r="D124" s="40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36"/>
    </row>
    <row r="125" spans="1:17" ht="12" thickBot="1" x14ac:dyDescent="0.25">
      <c r="A125" s="330" t="s">
        <v>10</v>
      </c>
      <c r="B125" s="331" t="s">
        <v>153</v>
      </c>
      <c r="D125" s="568" t="s">
        <v>16</v>
      </c>
      <c r="E125" s="569"/>
      <c r="F125" s="570"/>
      <c r="Q125" s="21"/>
    </row>
    <row r="126" spans="1:17" x14ac:dyDescent="0.2">
      <c r="Q126" s="21"/>
    </row>
    <row r="127" spans="1:17" s="549" customFormat="1" x14ac:dyDescent="0.2">
      <c r="A127" s="542" t="s">
        <v>98</v>
      </c>
      <c r="B127" s="542" t="s">
        <v>124</v>
      </c>
      <c r="C127" s="384">
        <v>100</v>
      </c>
      <c r="D127" s="543">
        <v>100</v>
      </c>
      <c r="E127" s="550">
        <f>+D127/P127*(CALC!$A$4)</f>
        <v>533.33333333333337</v>
      </c>
      <c r="F127" s="545"/>
      <c r="G127" s="545">
        <f>800*(1+CALC!$A$2)</f>
        <v>580</v>
      </c>
      <c r="H127" s="545">
        <f>8000*(1+CALC!$A$2)</f>
        <v>5800</v>
      </c>
      <c r="I127" s="545">
        <v>0</v>
      </c>
      <c r="J127" s="545"/>
      <c r="K127" s="545">
        <v>468</v>
      </c>
      <c r="L127" s="545">
        <v>0</v>
      </c>
      <c r="M127" s="545">
        <f>SUM(E127:L127)</f>
        <v>7381.3333333333339</v>
      </c>
      <c r="N127" s="546">
        <f>M127/CALC!$A$8*CALC!$A$6</f>
        <v>280.89397861218748</v>
      </c>
      <c r="O127" s="545">
        <f>+M127+N127</f>
        <v>7662.2273119455213</v>
      </c>
      <c r="P127" s="547">
        <v>3</v>
      </c>
      <c r="Q127" s="548"/>
    </row>
    <row r="128" spans="1:17" s="18" customFormat="1" x14ac:dyDescent="0.2">
      <c r="A128" s="35"/>
      <c r="B128" s="4" t="s">
        <v>14</v>
      </c>
      <c r="C128" s="26"/>
      <c r="D128" s="16">
        <f t="shared" ref="D128:I128" si="25">SUM(D127:D127)</f>
        <v>100</v>
      </c>
      <c r="E128" s="14">
        <f t="shared" si="25"/>
        <v>533.33333333333337</v>
      </c>
      <c r="F128" s="14">
        <f t="shared" si="25"/>
        <v>0</v>
      </c>
      <c r="G128" s="14">
        <f t="shared" si="25"/>
        <v>580</v>
      </c>
      <c r="H128" s="14">
        <f t="shared" si="25"/>
        <v>5800</v>
      </c>
      <c r="I128" s="14">
        <f t="shared" si="25"/>
        <v>0</v>
      </c>
      <c r="J128" s="14"/>
      <c r="K128" s="14">
        <f>SUM(K127:K127)</f>
        <v>468</v>
      </c>
      <c r="L128" s="14">
        <f>SUM(L127:L127)</f>
        <v>0</v>
      </c>
      <c r="M128" s="14">
        <f>SUM(M127:M127)</f>
        <v>7381.3333333333339</v>
      </c>
      <c r="N128" s="14">
        <f>M128/CALC!$A$8*CALC!$A$6</f>
        <v>280.89397861218748</v>
      </c>
      <c r="O128" s="14">
        <f>+M128+N128</f>
        <v>7662.2273119455213</v>
      </c>
      <c r="P128" s="33"/>
      <c r="Q128" s="135">
        <f>(+O128/D128)*(1+CALC!$A$3)</f>
        <v>76.622273119455215</v>
      </c>
    </row>
    <row r="129" spans="1:20" s="18" customFormat="1" ht="12" thickBot="1" x14ac:dyDescent="0.25">
      <c r="A129" s="35"/>
      <c r="B129" s="35"/>
      <c r="C129" s="39"/>
      <c r="D129" s="40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36"/>
    </row>
    <row r="130" spans="1:20" s="18" customFormat="1" ht="12" thickBot="1" x14ac:dyDescent="0.25">
      <c r="A130" s="42" t="s">
        <v>62</v>
      </c>
      <c r="B130" s="73" t="s">
        <v>14</v>
      </c>
      <c r="C130" s="74"/>
      <c r="D130" s="75">
        <f t="shared" ref="D130:O130" si="26">+D9+D22+D29+D128</f>
        <v>68100</v>
      </c>
      <c r="E130" s="283">
        <f t="shared" si="26"/>
        <v>208529.90647533379</v>
      </c>
      <c r="F130" s="283">
        <f t="shared" si="26"/>
        <v>12000</v>
      </c>
      <c r="G130" s="283">
        <f t="shared" si="26"/>
        <v>19444.869749999998</v>
      </c>
      <c r="H130" s="283">
        <f t="shared" si="26"/>
        <v>155800</v>
      </c>
      <c r="I130" s="283">
        <f t="shared" si="26"/>
        <v>82090.94</v>
      </c>
      <c r="J130" s="283">
        <f t="shared" si="26"/>
        <v>0</v>
      </c>
      <c r="K130" s="283">
        <f t="shared" si="26"/>
        <v>15288</v>
      </c>
      <c r="L130" s="283">
        <f t="shared" si="26"/>
        <v>0</v>
      </c>
      <c r="M130" s="283">
        <f t="shared" si="26"/>
        <v>493153.71622533374</v>
      </c>
      <c r="N130" s="283">
        <f t="shared" si="26"/>
        <v>18766.786861170476</v>
      </c>
      <c r="O130" s="283">
        <f t="shared" si="26"/>
        <v>511920.50308650418</v>
      </c>
      <c r="P130" s="21"/>
      <c r="Q130" s="283">
        <f>+Q9+Q22+Q29+Q128</f>
        <v>81.559166714440039</v>
      </c>
    </row>
    <row r="131" spans="1:20" ht="12" thickBot="1" x14ac:dyDescent="0.25">
      <c r="Q131" s="21"/>
    </row>
    <row r="132" spans="1:20" s="18" customFormat="1" ht="12" thickBot="1" x14ac:dyDescent="0.25">
      <c r="A132" s="18" t="s">
        <v>21</v>
      </c>
      <c r="B132" s="73" t="s">
        <v>14</v>
      </c>
      <c r="C132" s="74"/>
      <c r="D132" s="75">
        <f t="shared" ref="D132:N132" si="27">+D123+D130</f>
        <v>377835</v>
      </c>
      <c r="E132" s="283">
        <f t="shared" si="27"/>
        <v>2880072.3235741868</v>
      </c>
      <c r="F132" s="283">
        <f t="shared" si="27"/>
        <v>99000</v>
      </c>
      <c r="G132" s="283">
        <f t="shared" si="27"/>
        <v>308676.18850000005</v>
      </c>
      <c r="H132" s="283">
        <f t="shared" si="27"/>
        <v>3250070</v>
      </c>
      <c r="I132" s="283">
        <f t="shared" si="27"/>
        <v>1697679.2849999997</v>
      </c>
      <c r="J132" s="283">
        <f t="shared" si="27"/>
        <v>0</v>
      </c>
      <c r="K132" s="283">
        <f t="shared" si="27"/>
        <v>208146</v>
      </c>
      <c r="L132" s="283">
        <f t="shared" si="27"/>
        <v>0</v>
      </c>
      <c r="M132" s="283">
        <f t="shared" si="27"/>
        <v>8443643.7970741857</v>
      </c>
      <c r="N132" s="283">
        <f t="shared" si="27"/>
        <v>321319.82028688845</v>
      </c>
      <c r="O132" s="283">
        <f>+M132+N132</f>
        <v>8764963.6173610743</v>
      </c>
      <c r="P132" s="21"/>
      <c r="Q132" s="21"/>
    </row>
    <row r="133" spans="1:20" x14ac:dyDescent="0.2">
      <c r="Q133" s="21"/>
    </row>
    <row r="134" spans="1:20" x14ac:dyDescent="0.2">
      <c r="D134" s="82"/>
      <c r="E134" s="535" t="s">
        <v>106</v>
      </c>
      <c r="F134" s="535"/>
      <c r="G134" s="535" t="s">
        <v>107</v>
      </c>
      <c r="H134" s="535" t="s">
        <v>108</v>
      </c>
      <c r="I134" s="535" t="s">
        <v>109</v>
      </c>
      <c r="J134" s="535" t="s">
        <v>112</v>
      </c>
      <c r="K134" s="535" t="s">
        <v>110</v>
      </c>
      <c r="L134" s="535" t="s">
        <v>1491</v>
      </c>
      <c r="M134" s="535"/>
      <c r="N134" s="535" t="s">
        <v>111</v>
      </c>
      <c r="O134" s="535" t="s">
        <v>1499</v>
      </c>
      <c r="P134" s="24"/>
      <c r="Q134" s="44"/>
      <c r="R134" s="11"/>
    </row>
    <row r="135" spans="1:20" x14ac:dyDescent="0.2">
      <c r="A135" s="85" t="s">
        <v>18</v>
      </c>
      <c r="B135" s="84"/>
      <c r="C135" s="86"/>
      <c r="D135" s="80" t="s">
        <v>3</v>
      </c>
      <c r="E135" s="3" t="s">
        <v>4</v>
      </c>
      <c r="F135" s="3" t="str">
        <f>+F3</f>
        <v>TRACKING DEVICE</v>
      </c>
      <c r="G135" s="3" t="s">
        <v>5</v>
      </c>
      <c r="H135" s="3" t="s">
        <v>6</v>
      </c>
      <c r="I135" s="3" t="s">
        <v>7</v>
      </c>
      <c r="J135" s="3" t="s">
        <v>8</v>
      </c>
      <c r="K135" s="3" t="s">
        <v>9</v>
      </c>
      <c r="L135" s="3" t="str">
        <f>+L3</f>
        <v>INTEREST</v>
      </c>
      <c r="M135" s="3" t="s">
        <v>12</v>
      </c>
      <c r="N135" s="3" t="s">
        <v>13</v>
      </c>
      <c r="O135" s="3" t="s">
        <v>14</v>
      </c>
      <c r="Q135" s="21"/>
    </row>
    <row r="136" spans="1:20" x14ac:dyDescent="0.2">
      <c r="A136" s="84" t="s">
        <v>1387</v>
      </c>
      <c r="B136" s="84"/>
      <c r="C136" s="86"/>
      <c r="D136" s="83">
        <f>+mayor!D43</f>
        <v>167832</v>
      </c>
      <c r="E136" s="536">
        <f>+mayor!E43</f>
        <v>327547.25802318694</v>
      </c>
      <c r="F136" s="536">
        <f>+mayor!F43</f>
        <v>21000</v>
      </c>
      <c r="G136" s="536">
        <f>+mayor!G43</f>
        <v>91977.5</v>
      </c>
      <c r="H136" s="536">
        <f>+mayor!H43</f>
        <v>342000</v>
      </c>
      <c r="I136" s="536">
        <f>+mayor!I43</f>
        <v>372694.55</v>
      </c>
      <c r="J136" s="536">
        <f>+mayor!J43</f>
        <v>0</v>
      </c>
      <c r="K136" s="536">
        <f>+mayor!K43</f>
        <v>5975</v>
      </c>
      <c r="L136" s="536">
        <f>+mayor!L43</f>
        <v>0</v>
      </c>
      <c r="M136" s="536">
        <f>SUM(E136:L136)</f>
        <v>1161194.3080231869</v>
      </c>
      <c r="N136" s="536">
        <f>+mayor!N45</f>
        <v>44188.830715651042</v>
      </c>
      <c r="O136" s="536">
        <f>+M136+N136</f>
        <v>1205383.138738838</v>
      </c>
      <c r="Q136" s="21"/>
    </row>
    <row r="137" spans="1:20" x14ac:dyDescent="0.2">
      <c r="A137" s="84" t="s">
        <v>47</v>
      </c>
      <c r="B137" s="84"/>
      <c r="C137" s="86"/>
      <c r="D137" s="83">
        <f>+income!D18</f>
        <v>60000</v>
      </c>
      <c r="E137" s="537">
        <f>+income!E16</f>
        <v>158320.8395802099</v>
      </c>
      <c r="F137" s="537">
        <f>+income!F16</f>
        <v>3000</v>
      </c>
      <c r="G137" s="537">
        <f>+income!G16</f>
        <v>3974.45</v>
      </c>
      <c r="H137" s="537">
        <f>+income!H16</f>
        <v>35000</v>
      </c>
      <c r="I137" s="537">
        <f>+income!I16</f>
        <v>11166.61</v>
      </c>
      <c r="J137" s="537">
        <f>+income!J16</f>
        <v>0</v>
      </c>
      <c r="K137" s="537">
        <f>+income!K16</f>
        <v>960</v>
      </c>
      <c r="L137" s="537">
        <f>+income!L16</f>
        <v>0</v>
      </c>
      <c r="M137" s="536">
        <f t="shared" ref="M137:M143" si="28">SUM(E137:L137)</f>
        <v>212421.89958020992</v>
      </c>
      <c r="N137" s="537">
        <f>+income!N15</f>
        <v>8083.6387984253597</v>
      </c>
      <c r="O137" s="536">
        <f t="shared" ref="O137:O143" si="29">+M137+N137</f>
        <v>220505.53837863528</v>
      </c>
      <c r="Q137" s="21"/>
    </row>
    <row r="138" spans="1:20" x14ac:dyDescent="0.2">
      <c r="A138" s="84" t="s">
        <v>48</v>
      </c>
      <c r="B138" s="84"/>
      <c r="C138" s="86"/>
      <c r="D138" s="83">
        <f>+workshop!D22</f>
        <v>31300</v>
      </c>
      <c r="E138" s="537">
        <f>+workshop!E19</f>
        <v>80347.49122900478</v>
      </c>
      <c r="F138" s="537">
        <f>+workshop!F19</f>
        <v>12000</v>
      </c>
      <c r="G138" s="537">
        <f>+workshop!G19</f>
        <v>15950</v>
      </c>
      <c r="H138" s="537">
        <f>+workshop!H19</f>
        <v>145000</v>
      </c>
      <c r="I138" s="537">
        <f>+workshop!I19</f>
        <v>67795.950000000012</v>
      </c>
      <c r="J138" s="537">
        <f>+workshop!J19</f>
        <v>0</v>
      </c>
      <c r="K138" s="537">
        <f>+workshop!K19</f>
        <v>4080</v>
      </c>
      <c r="L138" s="537">
        <f>+workshop!L19</f>
        <v>0</v>
      </c>
      <c r="M138" s="536">
        <f t="shared" si="28"/>
        <v>325173.44122900476</v>
      </c>
      <c r="N138" s="537">
        <f>+workshop!N19</f>
        <v>12374.358062567486</v>
      </c>
      <c r="O138" s="536">
        <f t="shared" si="29"/>
        <v>337547.79929157224</v>
      </c>
      <c r="Q138" s="21"/>
    </row>
    <row r="139" spans="1:20" x14ac:dyDescent="0.2">
      <c r="A139" s="84" t="s">
        <v>40</v>
      </c>
      <c r="B139" s="84"/>
      <c r="C139" s="86"/>
      <c r="D139" s="83">
        <f>+'COMMUNITY SERV'!D105</f>
        <v>740400</v>
      </c>
      <c r="E139" s="537">
        <f>+'COMMUNITY SERV'!E105</f>
        <v>3517446.4999931841</v>
      </c>
      <c r="F139" s="537">
        <f>+'COMMUNITY SERV'!F105</f>
        <v>87000</v>
      </c>
      <c r="G139" s="537">
        <f>+'COMMUNITY SERV'!G105</f>
        <v>231056.18875</v>
      </c>
      <c r="H139" s="537">
        <f>+'COMMUNITY SERV'!H105</f>
        <v>1269190.8500000001</v>
      </c>
      <c r="I139" s="537">
        <f>+'COMMUNITY SERV'!I105</f>
        <v>673774.54</v>
      </c>
      <c r="J139" s="537">
        <f>+'COMMUNITY SERV'!J105</f>
        <v>0</v>
      </c>
      <c r="K139" s="537">
        <f>+'COMMUNITY SERV'!K105</f>
        <v>194260</v>
      </c>
      <c r="L139" s="537">
        <f>+'COMMUNITY SERV'!L105</f>
        <v>0</v>
      </c>
      <c r="M139" s="536">
        <f t="shared" si="28"/>
        <v>5972728.0787431849</v>
      </c>
      <c r="N139" s="537">
        <f>+'COMMUNITY SERV'!N102</f>
        <v>223212.15580762719</v>
      </c>
      <c r="O139" s="536">
        <f t="shared" si="29"/>
        <v>6195940.2345508123</v>
      </c>
      <c r="Q139" s="21"/>
    </row>
    <row r="140" spans="1:20" hidden="1" x14ac:dyDescent="0.2">
      <c r="A140" s="84" t="s">
        <v>236</v>
      </c>
      <c r="B140" s="84"/>
      <c r="C140" s="86"/>
      <c r="D140" s="83"/>
      <c r="E140" s="537"/>
      <c r="F140" s="537"/>
      <c r="G140" s="537"/>
      <c r="H140" s="537"/>
      <c r="I140" s="537"/>
      <c r="J140" s="537"/>
      <c r="K140" s="537"/>
      <c r="L140" s="537"/>
      <c r="M140" s="536">
        <f t="shared" si="28"/>
        <v>0</v>
      </c>
      <c r="N140" s="537"/>
      <c r="O140" s="536">
        <f t="shared" si="29"/>
        <v>0</v>
      </c>
      <c r="Q140" s="21"/>
    </row>
    <row r="141" spans="1:20" x14ac:dyDescent="0.2">
      <c r="A141" s="84" t="s">
        <v>20</v>
      </c>
      <c r="B141" s="84"/>
      <c r="C141" s="86"/>
      <c r="D141" s="83">
        <f>+EEM!D100</f>
        <v>703035</v>
      </c>
      <c r="E141" s="537">
        <f>+EEM!E100</f>
        <v>2500843.1638289341</v>
      </c>
      <c r="F141" s="537">
        <f>EEM!F97</f>
        <v>111000</v>
      </c>
      <c r="G141" s="537">
        <f>+EEM!G100</f>
        <v>149453.51550000001</v>
      </c>
      <c r="H141" s="537">
        <f>+EEM!H100</f>
        <v>1548425</v>
      </c>
      <c r="I141" s="537">
        <f>+EEM!I100</f>
        <v>1392746.53</v>
      </c>
      <c r="J141" s="537">
        <f>+EEM!J100</f>
        <v>0</v>
      </c>
      <c r="K141" s="537">
        <f>+EEM!K100</f>
        <v>115476</v>
      </c>
      <c r="L141" s="537">
        <f>+EEM!L100</f>
        <v>0</v>
      </c>
      <c r="M141" s="536">
        <f t="shared" si="28"/>
        <v>5817944.2093289346</v>
      </c>
      <c r="N141" s="537">
        <f>+EEM!N97</f>
        <v>221399.76918833205</v>
      </c>
      <c r="O141" s="536">
        <f t="shared" si="29"/>
        <v>6039343.9785172669</v>
      </c>
      <c r="Q141" s="21"/>
      <c r="S141" s="2">
        <f>EEM!O97</f>
        <v>6039343.978517266</v>
      </c>
      <c r="T141" s="28">
        <f>O141-S141</f>
        <v>0</v>
      </c>
    </row>
    <row r="142" spans="1:20" x14ac:dyDescent="0.2">
      <c r="A142" s="84" t="s">
        <v>21</v>
      </c>
      <c r="B142" s="84"/>
      <c r="C142" s="86"/>
      <c r="D142" s="83">
        <f>+D150</f>
        <v>377835</v>
      </c>
      <c r="E142" s="537">
        <f>+E150</f>
        <v>2880072.3235741868</v>
      </c>
      <c r="F142" s="537">
        <f t="shared" ref="F142:L142" si="30">+F150</f>
        <v>99000</v>
      </c>
      <c r="G142" s="537">
        <f t="shared" si="30"/>
        <v>308676.18850000005</v>
      </c>
      <c r="H142" s="537">
        <f>H132</f>
        <v>3250070</v>
      </c>
      <c r="I142" s="537">
        <f t="shared" si="30"/>
        <v>1697679.2849999997</v>
      </c>
      <c r="J142" s="537">
        <f t="shared" si="30"/>
        <v>0</v>
      </c>
      <c r="K142" s="537">
        <f t="shared" si="30"/>
        <v>208146</v>
      </c>
      <c r="L142" s="537">
        <f t="shared" si="30"/>
        <v>0</v>
      </c>
      <c r="M142" s="536">
        <f t="shared" si="28"/>
        <v>8443643.7970741875</v>
      </c>
      <c r="N142" s="537">
        <f t="shared" ref="N142" si="31">+N132</f>
        <v>321319.82028688845</v>
      </c>
      <c r="O142" s="536">
        <f t="shared" si="29"/>
        <v>8764963.6173610762</v>
      </c>
      <c r="Q142" s="21"/>
    </row>
    <row r="143" spans="1:20" ht="12" x14ac:dyDescent="0.2">
      <c r="A143" s="84" t="s">
        <v>22</v>
      </c>
      <c r="B143" s="84"/>
      <c r="C143" s="86"/>
      <c r="D143" s="83">
        <f>+MDC!D93</f>
        <v>441600</v>
      </c>
      <c r="E143" s="537">
        <f>+MDC!E93</f>
        <v>2587947.1409256021</v>
      </c>
      <c r="F143" s="537">
        <f>+MDC!F93</f>
        <v>66000</v>
      </c>
      <c r="G143" s="537">
        <f>+MDC!G93</f>
        <v>94730.203750000001</v>
      </c>
      <c r="H143" s="537">
        <f>+MDC!H93</f>
        <v>947750</v>
      </c>
      <c r="I143" s="537">
        <f>+MDC!I93</f>
        <v>550311.77499999991</v>
      </c>
      <c r="J143" s="537">
        <f>+MDC!J93</f>
        <v>0</v>
      </c>
      <c r="K143" s="537">
        <f>+MDC!K93</f>
        <v>98160</v>
      </c>
      <c r="L143" s="537">
        <f>+MDC!L93</f>
        <v>0</v>
      </c>
      <c r="M143" s="536">
        <f t="shared" si="28"/>
        <v>4344899.1196756018</v>
      </c>
      <c r="N143" s="537">
        <f>+MDC!N87</f>
        <v>165343.56941757642</v>
      </c>
      <c r="O143" s="536">
        <f t="shared" si="29"/>
        <v>4510242.6890931781</v>
      </c>
      <c r="Q143" s="282"/>
    </row>
    <row r="144" spans="1:20" x14ac:dyDescent="0.2">
      <c r="A144" s="84"/>
      <c r="B144" s="84"/>
      <c r="C144" s="86"/>
      <c r="D144" s="83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Q144" s="21"/>
    </row>
    <row r="145" spans="1:22" s="18" customFormat="1" x14ac:dyDescent="0.2">
      <c r="A145" s="78" t="s">
        <v>23</v>
      </c>
      <c r="B145" s="78"/>
      <c r="C145" s="79"/>
      <c r="D145" s="80">
        <f>SUM(D136:D144)</f>
        <v>2522002</v>
      </c>
      <c r="E145" s="538">
        <f t="shared" ref="E145:L145" si="32">SUM(E136:E144)</f>
        <v>12052524.717154309</v>
      </c>
      <c r="F145" s="538">
        <f>SUM(F136:F144)</f>
        <v>399000</v>
      </c>
      <c r="G145" s="538">
        <f t="shared" si="32"/>
        <v>895818.04650000005</v>
      </c>
      <c r="H145" s="538">
        <f t="shared" si="32"/>
        <v>7537435.8499999996</v>
      </c>
      <c r="I145" s="538">
        <f t="shared" si="32"/>
        <v>4766169.24</v>
      </c>
      <c r="J145" s="538">
        <f t="shared" si="32"/>
        <v>0</v>
      </c>
      <c r="K145" s="538">
        <f t="shared" si="32"/>
        <v>627057</v>
      </c>
      <c r="L145" s="538">
        <f t="shared" si="32"/>
        <v>0</v>
      </c>
      <c r="M145" s="538">
        <f>SUM(M136:M144)</f>
        <v>26278004.853654314</v>
      </c>
      <c r="N145" s="538">
        <f>SUM(N136:N144)</f>
        <v>995922.14227706811</v>
      </c>
      <c r="O145" s="538">
        <f>SUM(O136:O144)</f>
        <v>27273926.995931379</v>
      </c>
      <c r="P145" s="45"/>
      <c r="Q145" s="34"/>
    </row>
    <row r="146" spans="1:22" s="15" customFormat="1" x14ac:dyDescent="0.2">
      <c r="C146" s="29"/>
      <c r="D146" s="29"/>
      <c r="Q146" s="21"/>
    </row>
    <row r="147" spans="1:22" s="45" customFormat="1" x14ac:dyDescent="0.2">
      <c r="C147" s="98"/>
      <c r="D147" s="98"/>
      <c r="M147" s="105">
        <f>12465019.09*1.06</f>
        <v>13212920.235400001</v>
      </c>
      <c r="O147" s="45">
        <f>+N145+M147</f>
        <v>14208842.377677068</v>
      </c>
      <c r="Q147" s="34"/>
      <c r="S147" s="45">
        <v>20913644.23</v>
      </c>
      <c r="T147" s="45">
        <f>S147*1.06</f>
        <v>22168462.8838</v>
      </c>
      <c r="U147" s="45">
        <f>SUM(O136:O142)</f>
        <v>22763684.306838199</v>
      </c>
      <c r="V147" s="45">
        <f>U147-T147</f>
        <v>595221.42303819954</v>
      </c>
    </row>
    <row r="148" spans="1:22" ht="12" thickBot="1" x14ac:dyDescent="0.25">
      <c r="M148" s="15">
        <f>+M147-M145</f>
        <v>-13065084.618254313</v>
      </c>
      <c r="O148" s="15">
        <f>BUDGET!B76</f>
        <v>27273926.995931376</v>
      </c>
      <c r="P148" s="15">
        <f>O148-O145</f>
        <v>0</v>
      </c>
      <c r="Q148" s="21"/>
      <c r="S148" s="28">
        <v>3922777.91</v>
      </c>
      <c r="T148" s="45">
        <f t="shared" ref="T148:T149" si="33">S148*1.06</f>
        <v>4158144.5846000002</v>
      </c>
      <c r="U148" s="64">
        <f>SUM(O143)</f>
        <v>4510242.6890931781</v>
      </c>
      <c r="V148" s="28">
        <f>U148-T148</f>
        <v>352098.10449317796</v>
      </c>
    </row>
    <row r="149" spans="1:22" ht="12" thickBot="1" x14ac:dyDescent="0.25">
      <c r="E149" s="28"/>
      <c r="H149" s="64"/>
      <c r="M149" s="411">
        <f>+O155</f>
        <v>25184155.907000002</v>
      </c>
      <c r="N149" s="59"/>
      <c r="O149" s="15">
        <f>+M149+N145</f>
        <v>26180078.049277071</v>
      </c>
      <c r="Q149" s="21"/>
      <c r="S149" s="64">
        <f>SUM(S147:S148)</f>
        <v>24836422.140000001</v>
      </c>
      <c r="T149" s="45">
        <f t="shared" si="33"/>
        <v>26326607.468400002</v>
      </c>
    </row>
    <row r="150" spans="1:22" x14ac:dyDescent="0.2">
      <c r="D150" s="17">
        <f>+D9+D16+D23+D31+D36+D41+D48+D55+D61+D67+D73+D81+D101+D111+D121+D128</f>
        <v>377835</v>
      </c>
      <c r="E150" s="17">
        <f t="shared" ref="E150:L150" si="34">+E9+E16+E23+E31+E36+E41+E48+E55+E61+E67+E73+E81+E101+E111+E121+E128</f>
        <v>2880072.3235741868</v>
      </c>
      <c r="F150" s="17">
        <f>+F9+F16+F23+F31+F36+F41+F48+F55+F61+F67+F73+F81+F101+F111+F121+F128</f>
        <v>99000</v>
      </c>
      <c r="G150" s="407">
        <f>+G9+G16+G23+G31+G36+G41+G48+G55+G61+G67+G73+G81+G101+G111+G121+G128</f>
        <v>308676.18850000005</v>
      </c>
      <c r="H150" s="407">
        <f>+H9+H16+H23+H31+H36+H41+H48+H55+H61+H67+H73+H81+H101+H111+H121+H128</f>
        <v>3169570</v>
      </c>
      <c r="I150" s="407">
        <f>+I9+I16+I23+I31+I36+I41+I48+I55+I61+I67+I73+I81</f>
        <v>1697679.2849999997</v>
      </c>
      <c r="J150" s="17">
        <f>+J9+J16+J23+J31+J36+J41+J48+J55+J61+J67+J73+J81+J101+J111+J121+J128</f>
        <v>0</v>
      </c>
      <c r="K150" s="17">
        <f t="shared" si="34"/>
        <v>208146</v>
      </c>
      <c r="L150" s="17">
        <f t="shared" si="34"/>
        <v>0</v>
      </c>
      <c r="M150" s="15"/>
      <c r="O150" s="15"/>
      <c r="Q150" s="21"/>
    </row>
    <row r="151" spans="1:22" x14ac:dyDescent="0.2">
      <c r="D151" s="17">
        <f>+D132-D150</f>
        <v>0</v>
      </c>
      <c r="E151" s="17">
        <f t="shared" ref="E151:L151" si="35">+E132-E150</f>
        <v>0</v>
      </c>
      <c r="F151" s="17">
        <f t="shared" si="35"/>
        <v>0</v>
      </c>
      <c r="G151" s="17">
        <f t="shared" si="35"/>
        <v>0</v>
      </c>
      <c r="H151" s="17">
        <f t="shared" si="35"/>
        <v>80500</v>
      </c>
      <c r="I151" s="17">
        <f>+I132-I150</f>
        <v>0</v>
      </c>
      <c r="J151" s="17">
        <f t="shared" si="35"/>
        <v>0</v>
      </c>
      <c r="K151" s="17">
        <f t="shared" si="35"/>
        <v>0</v>
      </c>
      <c r="L151" s="17">
        <f t="shared" si="35"/>
        <v>0</v>
      </c>
      <c r="M151" s="15">
        <f>+M149-M145</f>
        <v>-1093848.9466543123</v>
      </c>
      <c r="O151" s="15"/>
      <c r="Q151" s="21"/>
    </row>
    <row r="152" spans="1:22" x14ac:dyDescent="0.2">
      <c r="I152" s="64">
        <f>-I55</f>
        <v>-538137.07499999995</v>
      </c>
      <c r="M152" s="15"/>
      <c r="O152" s="15">
        <v>23984910.34</v>
      </c>
      <c r="Q152" s="21"/>
    </row>
    <row r="153" spans="1:22" x14ac:dyDescent="0.2">
      <c r="M153" s="15">
        <f>23297994.53*5%</f>
        <v>1164899.7265000001</v>
      </c>
      <c r="O153" s="15">
        <v>0.05</v>
      </c>
      <c r="Q153" s="21"/>
    </row>
    <row r="154" spans="1:22" x14ac:dyDescent="0.2">
      <c r="M154" s="15"/>
      <c r="O154" s="15">
        <f>+O152*O153</f>
        <v>1199245.517</v>
      </c>
      <c r="Q154" s="21"/>
    </row>
    <row r="155" spans="1:22" x14ac:dyDescent="0.2">
      <c r="I155" s="15"/>
      <c r="M155" s="15"/>
      <c r="O155" s="15">
        <f>SUM(O152:O154)</f>
        <v>25184155.907000002</v>
      </c>
      <c r="Q155" s="21"/>
    </row>
    <row r="156" spans="1:22" x14ac:dyDescent="0.2">
      <c r="I156" s="15"/>
      <c r="M156" s="15">
        <f>+M145-M154</f>
        <v>26278004.853654314</v>
      </c>
      <c r="O156" s="15">
        <v>303610</v>
      </c>
      <c r="Q156" s="21"/>
    </row>
    <row r="157" spans="1:22" x14ac:dyDescent="0.2">
      <c r="I157" s="15"/>
      <c r="M157" s="15"/>
      <c r="O157" s="15">
        <v>0.05</v>
      </c>
      <c r="Q157" s="21"/>
    </row>
    <row r="158" spans="1:22" x14ac:dyDescent="0.2">
      <c r="I158" s="15"/>
      <c r="O158" s="15">
        <f>+O156*O157</f>
        <v>15180.5</v>
      </c>
      <c r="Q158" s="21"/>
    </row>
    <row r="159" spans="1:22" x14ac:dyDescent="0.2">
      <c r="E159" s="15"/>
      <c r="I159" s="15"/>
      <c r="O159" s="15">
        <f>SUM(O156:O158)</f>
        <v>318790.55</v>
      </c>
      <c r="Q159" s="21"/>
    </row>
    <row r="160" spans="1:22" x14ac:dyDescent="0.2">
      <c r="E160" s="15"/>
      <c r="Q160" s="21"/>
    </row>
    <row r="161" spans="5:17" x14ac:dyDescent="0.2">
      <c r="E161" s="15"/>
      <c r="Q161" s="21"/>
    </row>
    <row r="162" spans="5:17" x14ac:dyDescent="0.2">
      <c r="Q162" s="21"/>
    </row>
    <row r="163" spans="5:17" x14ac:dyDescent="0.2">
      <c r="Q163" s="21"/>
    </row>
    <row r="164" spans="5:17" x14ac:dyDescent="0.2">
      <c r="Q164" s="21"/>
    </row>
    <row r="165" spans="5:17" x14ac:dyDescent="0.2">
      <c r="H165" s="2">
        <v>1560656</v>
      </c>
      <c r="Q165" s="21"/>
    </row>
    <row r="166" spans="5:17" x14ac:dyDescent="0.2">
      <c r="H166" s="2">
        <f>+H165*4.5%</f>
        <v>70229.52</v>
      </c>
      <c r="Q166" s="21"/>
    </row>
    <row r="167" spans="5:17" x14ac:dyDescent="0.2">
      <c r="Q167" s="21"/>
    </row>
    <row r="168" spans="5:17" x14ac:dyDescent="0.2">
      <c r="Q168" s="21"/>
    </row>
    <row r="169" spans="5:17" x14ac:dyDescent="0.2">
      <c r="Q169" s="21"/>
    </row>
    <row r="170" spans="5:17" x14ac:dyDescent="0.2">
      <c r="Q170" s="21"/>
    </row>
    <row r="171" spans="5:17" x14ac:dyDescent="0.2">
      <c r="Q171" s="21"/>
    </row>
    <row r="172" spans="5:17" x14ac:dyDescent="0.2">
      <c r="Q172" s="21"/>
    </row>
    <row r="173" spans="5:17" x14ac:dyDescent="0.2">
      <c r="Q173" s="21"/>
    </row>
    <row r="174" spans="5:17" x14ac:dyDescent="0.2">
      <c r="Q174" s="21"/>
    </row>
    <row r="175" spans="5:17" x14ac:dyDescent="0.2">
      <c r="Q175" s="21"/>
    </row>
    <row r="176" spans="5:17" x14ac:dyDescent="0.2">
      <c r="Q176" s="21"/>
    </row>
    <row r="177" spans="17:17" x14ac:dyDescent="0.2">
      <c r="Q177" s="21"/>
    </row>
    <row r="178" spans="17:17" x14ac:dyDescent="0.2">
      <c r="Q178" s="21"/>
    </row>
    <row r="179" spans="17:17" x14ac:dyDescent="0.2">
      <c r="Q179" s="21"/>
    </row>
    <row r="180" spans="17:17" x14ac:dyDescent="0.2">
      <c r="Q180" s="21"/>
    </row>
    <row r="181" spans="17:17" x14ac:dyDescent="0.2">
      <c r="Q181" s="21"/>
    </row>
    <row r="182" spans="17:17" x14ac:dyDescent="0.2">
      <c r="Q182" s="21"/>
    </row>
    <row r="183" spans="17:17" x14ac:dyDescent="0.2">
      <c r="Q183" s="21"/>
    </row>
    <row r="184" spans="17:17" x14ac:dyDescent="0.2">
      <c r="Q184" s="21"/>
    </row>
    <row r="185" spans="17:17" x14ac:dyDescent="0.2">
      <c r="Q185" s="21"/>
    </row>
    <row r="186" spans="17:17" x14ac:dyDescent="0.2">
      <c r="Q186" s="21"/>
    </row>
    <row r="187" spans="17:17" x14ac:dyDescent="0.2">
      <c r="Q187" s="21"/>
    </row>
    <row r="188" spans="17:17" x14ac:dyDescent="0.2">
      <c r="Q188" s="21"/>
    </row>
    <row r="189" spans="17:17" x14ac:dyDescent="0.2">
      <c r="Q189" s="21"/>
    </row>
    <row r="190" spans="17:17" x14ac:dyDescent="0.2">
      <c r="Q190" s="21"/>
    </row>
    <row r="191" spans="17:17" x14ac:dyDescent="0.2">
      <c r="Q191" s="21"/>
    </row>
    <row r="192" spans="17:17" x14ac:dyDescent="0.2">
      <c r="Q192" s="21"/>
    </row>
    <row r="193" spans="17:17" x14ac:dyDescent="0.2">
      <c r="Q193" s="21"/>
    </row>
    <row r="194" spans="17:17" x14ac:dyDescent="0.2">
      <c r="Q194" s="21"/>
    </row>
    <row r="195" spans="17:17" x14ac:dyDescent="0.2">
      <c r="Q195" s="21"/>
    </row>
    <row r="196" spans="17:17" x14ac:dyDescent="0.2">
      <c r="Q196" s="21"/>
    </row>
    <row r="197" spans="17:17" x14ac:dyDescent="0.2">
      <c r="Q197" s="21"/>
    </row>
    <row r="198" spans="17:17" x14ac:dyDescent="0.2">
      <c r="Q198" s="21"/>
    </row>
    <row r="199" spans="17:17" x14ac:dyDescent="0.2">
      <c r="Q199" s="21"/>
    </row>
    <row r="200" spans="17:17" x14ac:dyDescent="0.2">
      <c r="Q200" s="21"/>
    </row>
    <row r="201" spans="17:17" x14ac:dyDescent="0.2">
      <c r="Q201" s="21"/>
    </row>
    <row r="202" spans="17:17" x14ac:dyDescent="0.2">
      <c r="Q202" s="21"/>
    </row>
    <row r="203" spans="17:17" x14ac:dyDescent="0.2">
      <c r="Q203" s="21"/>
    </row>
    <row r="204" spans="17:17" x14ac:dyDescent="0.2">
      <c r="Q204" s="21"/>
    </row>
    <row r="205" spans="17:17" x14ac:dyDescent="0.2">
      <c r="Q205" s="21"/>
    </row>
    <row r="206" spans="17:17" x14ac:dyDescent="0.2">
      <c r="Q206" s="21"/>
    </row>
    <row r="207" spans="17:17" x14ac:dyDescent="0.2">
      <c r="Q207" s="21"/>
    </row>
    <row r="208" spans="17:17" x14ac:dyDescent="0.2">
      <c r="Q208" s="21"/>
    </row>
    <row r="209" spans="17:17" x14ac:dyDescent="0.2">
      <c r="Q209" s="21"/>
    </row>
    <row r="210" spans="17:17" x14ac:dyDescent="0.2">
      <c r="Q210" s="21"/>
    </row>
    <row r="211" spans="17:17" x14ac:dyDescent="0.2">
      <c r="Q211" s="21"/>
    </row>
    <row r="212" spans="17:17" x14ac:dyDescent="0.2">
      <c r="Q212" s="21"/>
    </row>
    <row r="213" spans="17:17" x14ac:dyDescent="0.2">
      <c r="Q213" s="21"/>
    </row>
    <row r="214" spans="17:17" x14ac:dyDescent="0.2">
      <c r="Q214" s="21"/>
    </row>
    <row r="215" spans="17:17" x14ac:dyDescent="0.2">
      <c r="Q215" s="21"/>
    </row>
    <row r="216" spans="17:17" x14ac:dyDescent="0.2">
      <c r="Q216" s="21"/>
    </row>
    <row r="217" spans="17:17" x14ac:dyDescent="0.2">
      <c r="Q217" s="21"/>
    </row>
    <row r="218" spans="17:17" x14ac:dyDescent="0.2">
      <c r="Q218" s="21"/>
    </row>
    <row r="219" spans="17:17" x14ac:dyDescent="0.2">
      <c r="Q219" s="21"/>
    </row>
    <row r="220" spans="17:17" x14ac:dyDescent="0.2">
      <c r="Q220" s="21"/>
    </row>
    <row r="221" spans="17:17" x14ac:dyDescent="0.2">
      <c r="Q221" s="21"/>
    </row>
    <row r="222" spans="17:17" x14ac:dyDescent="0.2">
      <c r="Q222" s="21"/>
    </row>
    <row r="223" spans="17:17" x14ac:dyDescent="0.2">
      <c r="Q223" s="21"/>
    </row>
    <row r="224" spans="17:17" x14ac:dyDescent="0.2">
      <c r="Q224" s="21"/>
    </row>
    <row r="225" spans="17:17" x14ac:dyDescent="0.2">
      <c r="Q225" s="21"/>
    </row>
    <row r="226" spans="17:17" x14ac:dyDescent="0.2">
      <c r="Q226" s="21"/>
    </row>
    <row r="227" spans="17:17" x14ac:dyDescent="0.2">
      <c r="Q227" s="21"/>
    </row>
    <row r="228" spans="17:17" x14ac:dyDescent="0.2">
      <c r="Q228" s="21"/>
    </row>
    <row r="229" spans="17:17" x14ac:dyDescent="0.2">
      <c r="Q229" s="21"/>
    </row>
    <row r="230" spans="17:17" x14ac:dyDescent="0.2">
      <c r="Q230" s="21"/>
    </row>
    <row r="231" spans="17:17" x14ac:dyDescent="0.2">
      <c r="Q231" s="21"/>
    </row>
    <row r="232" spans="17:17" x14ac:dyDescent="0.2">
      <c r="Q232" s="21"/>
    </row>
    <row r="233" spans="17:17" x14ac:dyDescent="0.2">
      <c r="Q233" s="21"/>
    </row>
    <row r="234" spans="17:17" x14ac:dyDescent="0.2">
      <c r="Q234" s="21"/>
    </row>
    <row r="235" spans="17:17" x14ac:dyDescent="0.2">
      <c r="Q235" s="21"/>
    </row>
    <row r="236" spans="17:17" x14ac:dyDescent="0.2">
      <c r="Q236" s="21"/>
    </row>
    <row r="237" spans="17:17" x14ac:dyDescent="0.2">
      <c r="Q237" s="21"/>
    </row>
    <row r="238" spans="17:17" x14ac:dyDescent="0.2">
      <c r="Q238" s="21"/>
    </row>
    <row r="239" spans="17:17" x14ac:dyDescent="0.2">
      <c r="Q239" s="21"/>
    </row>
    <row r="240" spans="17:17" x14ac:dyDescent="0.2">
      <c r="Q240" s="21"/>
    </row>
    <row r="241" spans="17:17" x14ac:dyDescent="0.2">
      <c r="Q241" s="21"/>
    </row>
    <row r="242" spans="17:17" x14ac:dyDescent="0.2">
      <c r="Q242" s="21"/>
    </row>
    <row r="243" spans="17:17" x14ac:dyDescent="0.2">
      <c r="Q243" s="21"/>
    </row>
    <row r="244" spans="17:17" x14ac:dyDescent="0.2">
      <c r="Q244" s="21"/>
    </row>
    <row r="245" spans="17:17" x14ac:dyDescent="0.2">
      <c r="Q245" s="21"/>
    </row>
    <row r="246" spans="17:17" x14ac:dyDescent="0.2">
      <c r="Q246" s="21"/>
    </row>
    <row r="247" spans="17:17" x14ac:dyDescent="0.2">
      <c r="Q247" s="21"/>
    </row>
    <row r="248" spans="17:17" x14ac:dyDescent="0.2">
      <c r="Q248" s="21"/>
    </row>
    <row r="249" spans="17:17" x14ac:dyDescent="0.2">
      <c r="Q249" s="21"/>
    </row>
    <row r="250" spans="17:17" x14ac:dyDescent="0.2">
      <c r="Q250" s="21"/>
    </row>
    <row r="251" spans="17:17" x14ac:dyDescent="0.2">
      <c r="Q251" s="21"/>
    </row>
    <row r="252" spans="17:17" x14ac:dyDescent="0.2">
      <c r="Q252" s="21"/>
    </row>
    <row r="253" spans="17:17" x14ac:dyDescent="0.2">
      <c r="Q253" s="21"/>
    </row>
    <row r="254" spans="17:17" x14ac:dyDescent="0.2">
      <c r="Q254" s="21"/>
    </row>
    <row r="255" spans="17:17" x14ac:dyDescent="0.2">
      <c r="Q255" s="21"/>
    </row>
    <row r="256" spans="17:17" x14ac:dyDescent="0.2">
      <c r="Q256" s="21"/>
    </row>
    <row r="257" spans="17:17" x14ac:dyDescent="0.2">
      <c r="Q257" s="21"/>
    </row>
    <row r="258" spans="17:17" x14ac:dyDescent="0.2">
      <c r="Q258" s="21"/>
    </row>
    <row r="259" spans="17:17" x14ac:dyDescent="0.2">
      <c r="Q259" s="21"/>
    </row>
    <row r="260" spans="17:17" x14ac:dyDescent="0.2">
      <c r="Q260" s="21"/>
    </row>
    <row r="261" spans="17:17" x14ac:dyDescent="0.2">
      <c r="Q261" s="21"/>
    </row>
    <row r="262" spans="17:17" x14ac:dyDescent="0.2">
      <c r="Q262" s="21"/>
    </row>
    <row r="263" spans="17:17" x14ac:dyDescent="0.2">
      <c r="Q263" s="21"/>
    </row>
    <row r="264" spans="17:17" x14ac:dyDescent="0.2">
      <c r="Q264" s="21"/>
    </row>
    <row r="265" spans="17:17" x14ac:dyDescent="0.2">
      <c r="Q265" s="21"/>
    </row>
    <row r="266" spans="17:17" x14ac:dyDescent="0.2">
      <c r="Q266" s="21"/>
    </row>
    <row r="267" spans="17:17" x14ac:dyDescent="0.2">
      <c r="Q267" s="21"/>
    </row>
    <row r="268" spans="17:17" x14ac:dyDescent="0.2">
      <c r="Q268" s="21"/>
    </row>
    <row r="269" spans="17:17" x14ac:dyDescent="0.2">
      <c r="Q269" s="21"/>
    </row>
    <row r="270" spans="17:17" x14ac:dyDescent="0.2">
      <c r="Q270" s="21"/>
    </row>
    <row r="271" spans="17:17" x14ac:dyDescent="0.2">
      <c r="Q271" s="21"/>
    </row>
    <row r="272" spans="17:17" x14ac:dyDescent="0.2">
      <c r="Q272" s="21"/>
    </row>
    <row r="273" spans="17:17" x14ac:dyDescent="0.2">
      <c r="Q273" s="21"/>
    </row>
    <row r="274" spans="17:17" x14ac:dyDescent="0.2">
      <c r="Q274" s="21"/>
    </row>
    <row r="275" spans="17:17" x14ac:dyDescent="0.2">
      <c r="Q275" s="21"/>
    </row>
    <row r="276" spans="17:17" x14ac:dyDescent="0.2">
      <c r="Q276" s="21"/>
    </row>
    <row r="277" spans="17:17" x14ac:dyDescent="0.2">
      <c r="Q277" s="21"/>
    </row>
    <row r="278" spans="17:17" x14ac:dyDescent="0.2">
      <c r="Q278" s="21"/>
    </row>
    <row r="279" spans="17:17" x14ac:dyDescent="0.2">
      <c r="Q279" s="21"/>
    </row>
    <row r="280" spans="17:17" x14ac:dyDescent="0.2">
      <c r="Q280" s="21"/>
    </row>
    <row r="281" spans="17:17" x14ac:dyDescent="0.2">
      <c r="Q281" s="21"/>
    </row>
    <row r="282" spans="17:17" x14ac:dyDescent="0.2">
      <c r="Q282" s="21"/>
    </row>
    <row r="283" spans="17:17" x14ac:dyDescent="0.2">
      <c r="Q283" s="21"/>
    </row>
    <row r="284" spans="17:17" x14ac:dyDescent="0.2">
      <c r="Q284" s="21"/>
    </row>
    <row r="285" spans="17:17" x14ac:dyDescent="0.2">
      <c r="Q285" s="21"/>
    </row>
    <row r="286" spans="17:17" x14ac:dyDescent="0.2">
      <c r="Q286" s="21"/>
    </row>
    <row r="287" spans="17:17" x14ac:dyDescent="0.2">
      <c r="Q287" s="21"/>
    </row>
    <row r="288" spans="17:17" x14ac:dyDescent="0.2">
      <c r="Q288" s="21"/>
    </row>
    <row r="289" spans="17:17" x14ac:dyDescent="0.2">
      <c r="Q289" s="21"/>
    </row>
    <row r="290" spans="17:17" x14ac:dyDescent="0.2">
      <c r="Q290" s="21"/>
    </row>
    <row r="291" spans="17:17" x14ac:dyDescent="0.2">
      <c r="Q291" s="21"/>
    </row>
    <row r="292" spans="17:17" x14ac:dyDescent="0.2">
      <c r="Q292" s="21"/>
    </row>
    <row r="293" spans="17:17" x14ac:dyDescent="0.2">
      <c r="Q293" s="21"/>
    </row>
    <row r="294" spans="17:17" x14ac:dyDescent="0.2">
      <c r="Q294" s="21"/>
    </row>
    <row r="295" spans="17:17" x14ac:dyDescent="0.2">
      <c r="Q295" s="21"/>
    </row>
    <row r="296" spans="17:17" x14ac:dyDescent="0.2">
      <c r="Q296" s="21"/>
    </row>
    <row r="297" spans="17:17" x14ac:dyDescent="0.2">
      <c r="Q297" s="21"/>
    </row>
    <row r="298" spans="17:17" x14ac:dyDescent="0.2">
      <c r="Q298" s="21"/>
    </row>
    <row r="299" spans="17:17" x14ac:dyDescent="0.2">
      <c r="Q299" s="21"/>
    </row>
    <row r="300" spans="17:17" x14ac:dyDescent="0.2">
      <c r="Q300" s="21"/>
    </row>
    <row r="301" spans="17:17" x14ac:dyDescent="0.2">
      <c r="Q301" s="21"/>
    </row>
    <row r="302" spans="17:17" x14ac:dyDescent="0.2">
      <c r="Q302" s="21"/>
    </row>
    <row r="303" spans="17:17" x14ac:dyDescent="0.2">
      <c r="Q303" s="21"/>
    </row>
    <row r="304" spans="17:17" x14ac:dyDescent="0.2">
      <c r="Q304" s="21"/>
    </row>
    <row r="305" spans="17:17" x14ac:dyDescent="0.2">
      <c r="Q305" s="21"/>
    </row>
    <row r="306" spans="17:17" x14ac:dyDescent="0.2">
      <c r="Q306" s="21"/>
    </row>
    <row r="307" spans="17:17" x14ac:dyDescent="0.2">
      <c r="Q307" s="21"/>
    </row>
    <row r="308" spans="17:17" x14ac:dyDescent="0.2">
      <c r="Q308" s="21"/>
    </row>
    <row r="309" spans="17:17" x14ac:dyDescent="0.2">
      <c r="Q309" s="21"/>
    </row>
    <row r="310" spans="17:17" x14ac:dyDescent="0.2">
      <c r="Q310" s="21"/>
    </row>
    <row r="311" spans="17:17" x14ac:dyDescent="0.2">
      <c r="Q311" s="21"/>
    </row>
    <row r="312" spans="17:17" x14ac:dyDescent="0.2">
      <c r="Q312" s="21"/>
    </row>
    <row r="313" spans="17:17" x14ac:dyDescent="0.2">
      <c r="Q313" s="21"/>
    </row>
    <row r="314" spans="17:17" x14ac:dyDescent="0.2">
      <c r="Q314" s="21"/>
    </row>
    <row r="315" spans="17:17" x14ac:dyDescent="0.2">
      <c r="Q315" s="21"/>
    </row>
    <row r="316" spans="17:17" x14ac:dyDescent="0.2">
      <c r="Q316" s="21"/>
    </row>
    <row r="317" spans="17:17" x14ac:dyDescent="0.2">
      <c r="Q317" s="21"/>
    </row>
    <row r="318" spans="17:17" x14ac:dyDescent="0.2">
      <c r="Q318" s="21"/>
    </row>
    <row r="319" spans="17:17" x14ac:dyDescent="0.2">
      <c r="Q319" s="21"/>
    </row>
    <row r="320" spans="17:17" x14ac:dyDescent="0.2">
      <c r="Q320" s="21"/>
    </row>
    <row r="321" spans="17:17" x14ac:dyDescent="0.2">
      <c r="Q321" s="21"/>
    </row>
    <row r="322" spans="17:17" x14ac:dyDescent="0.2">
      <c r="Q322" s="21"/>
    </row>
    <row r="323" spans="17:17" x14ac:dyDescent="0.2">
      <c r="Q323" s="21"/>
    </row>
    <row r="324" spans="17:17" x14ac:dyDescent="0.2">
      <c r="Q324" s="21"/>
    </row>
    <row r="325" spans="17:17" x14ac:dyDescent="0.2">
      <c r="Q325" s="21"/>
    </row>
    <row r="326" spans="17:17" x14ac:dyDescent="0.2">
      <c r="Q326" s="21"/>
    </row>
    <row r="327" spans="17:17" x14ac:dyDescent="0.2">
      <c r="Q327" s="21"/>
    </row>
    <row r="328" spans="17:17" x14ac:dyDescent="0.2">
      <c r="Q328" s="21"/>
    </row>
    <row r="329" spans="17:17" x14ac:dyDescent="0.2">
      <c r="Q329" s="21"/>
    </row>
    <row r="330" spans="17:17" x14ac:dyDescent="0.2">
      <c r="Q330" s="21"/>
    </row>
    <row r="331" spans="17:17" x14ac:dyDescent="0.2">
      <c r="Q331" s="21"/>
    </row>
    <row r="332" spans="17:17" x14ac:dyDescent="0.2">
      <c r="Q332" s="21"/>
    </row>
    <row r="333" spans="17:17" x14ac:dyDescent="0.2">
      <c r="Q333" s="21"/>
    </row>
    <row r="334" spans="17:17" x14ac:dyDescent="0.2">
      <c r="Q334" s="21"/>
    </row>
    <row r="335" spans="17:17" x14ac:dyDescent="0.2">
      <c r="Q335" s="21"/>
    </row>
    <row r="336" spans="17:17" x14ac:dyDescent="0.2">
      <c r="Q336" s="21"/>
    </row>
    <row r="337" spans="17:17" x14ac:dyDescent="0.2">
      <c r="Q337" s="21"/>
    </row>
    <row r="338" spans="17:17" x14ac:dyDescent="0.2">
      <c r="Q338" s="21"/>
    </row>
    <row r="339" spans="17:17" x14ac:dyDescent="0.2">
      <c r="Q339" s="21"/>
    </row>
    <row r="340" spans="17:17" x14ac:dyDescent="0.2">
      <c r="Q340" s="21"/>
    </row>
    <row r="341" spans="17:17" x14ac:dyDescent="0.2">
      <c r="Q341" s="21"/>
    </row>
    <row r="342" spans="17:17" x14ac:dyDescent="0.2">
      <c r="Q342" s="21"/>
    </row>
    <row r="343" spans="17:17" x14ac:dyDescent="0.2">
      <c r="Q343" s="21"/>
    </row>
    <row r="344" spans="17:17" x14ac:dyDescent="0.2">
      <c r="Q344" s="21"/>
    </row>
    <row r="345" spans="17:17" x14ac:dyDescent="0.2">
      <c r="Q345" s="21"/>
    </row>
    <row r="346" spans="17:17" x14ac:dyDescent="0.2">
      <c r="Q346" s="21"/>
    </row>
    <row r="347" spans="17:17" x14ac:dyDescent="0.2">
      <c r="Q347" s="21"/>
    </row>
    <row r="348" spans="17:17" x14ac:dyDescent="0.2">
      <c r="Q348" s="21"/>
    </row>
    <row r="349" spans="17:17" x14ac:dyDescent="0.2">
      <c r="Q349" s="21"/>
    </row>
    <row r="350" spans="17:17" x14ac:dyDescent="0.2">
      <c r="Q350" s="21"/>
    </row>
    <row r="351" spans="17:17" x14ac:dyDescent="0.2">
      <c r="Q351" s="21"/>
    </row>
    <row r="352" spans="17:17" x14ac:dyDescent="0.2">
      <c r="Q352" s="21"/>
    </row>
    <row r="353" spans="17:17" x14ac:dyDescent="0.2">
      <c r="Q353" s="21"/>
    </row>
    <row r="354" spans="17:17" x14ac:dyDescent="0.2">
      <c r="Q354" s="21"/>
    </row>
    <row r="355" spans="17:17" x14ac:dyDescent="0.2">
      <c r="Q355" s="21"/>
    </row>
    <row r="356" spans="17:17" x14ac:dyDescent="0.2">
      <c r="Q356" s="21"/>
    </row>
    <row r="357" spans="17:17" x14ac:dyDescent="0.2">
      <c r="Q357" s="21"/>
    </row>
    <row r="358" spans="17:17" x14ac:dyDescent="0.2">
      <c r="Q358" s="21"/>
    </row>
    <row r="359" spans="17:17" x14ac:dyDescent="0.2">
      <c r="Q359" s="21"/>
    </row>
    <row r="360" spans="17:17" x14ac:dyDescent="0.2">
      <c r="Q360" s="21"/>
    </row>
    <row r="361" spans="17:17" x14ac:dyDescent="0.2">
      <c r="Q361" s="21"/>
    </row>
    <row r="362" spans="17:17" x14ac:dyDescent="0.2">
      <c r="Q362" s="21"/>
    </row>
    <row r="363" spans="17:17" x14ac:dyDescent="0.2">
      <c r="Q363" s="21"/>
    </row>
    <row r="364" spans="17:17" x14ac:dyDescent="0.2">
      <c r="Q364" s="21"/>
    </row>
    <row r="365" spans="17:17" x14ac:dyDescent="0.2">
      <c r="Q365" s="21"/>
    </row>
    <row r="366" spans="17:17" x14ac:dyDescent="0.2">
      <c r="Q366" s="21"/>
    </row>
    <row r="367" spans="17:17" x14ac:dyDescent="0.2">
      <c r="Q367" s="21"/>
    </row>
    <row r="368" spans="17:17" x14ac:dyDescent="0.2">
      <c r="Q368" s="21"/>
    </row>
    <row r="369" spans="17:17" x14ac:dyDescent="0.2">
      <c r="Q369" s="21"/>
    </row>
    <row r="370" spans="17:17" x14ac:dyDescent="0.2">
      <c r="Q370" s="21"/>
    </row>
    <row r="371" spans="17:17" x14ac:dyDescent="0.2">
      <c r="Q371" s="21"/>
    </row>
    <row r="372" spans="17:17" x14ac:dyDescent="0.2">
      <c r="Q372" s="21"/>
    </row>
    <row r="373" spans="17:17" x14ac:dyDescent="0.2">
      <c r="Q373" s="21"/>
    </row>
    <row r="374" spans="17:17" x14ac:dyDescent="0.2">
      <c r="Q374" s="21"/>
    </row>
    <row r="375" spans="17:17" x14ac:dyDescent="0.2">
      <c r="Q375" s="21"/>
    </row>
    <row r="376" spans="17:17" x14ac:dyDescent="0.2">
      <c r="Q376" s="21"/>
    </row>
    <row r="377" spans="17:17" x14ac:dyDescent="0.2">
      <c r="Q377" s="21"/>
    </row>
    <row r="378" spans="17:17" x14ac:dyDescent="0.2">
      <c r="Q378" s="21"/>
    </row>
    <row r="379" spans="17:17" x14ac:dyDescent="0.2">
      <c r="Q379" s="21"/>
    </row>
    <row r="380" spans="17:17" x14ac:dyDescent="0.2">
      <c r="Q380" s="21"/>
    </row>
    <row r="381" spans="17:17" x14ac:dyDescent="0.2">
      <c r="Q381" s="21"/>
    </row>
    <row r="382" spans="17:17" x14ac:dyDescent="0.2">
      <c r="Q382" s="21"/>
    </row>
    <row r="383" spans="17:17" x14ac:dyDescent="0.2">
      <c r="Q383" s="21"/>
    </row>
    <row r="384" spans="17:17" x14ac:dyDescent="0.2">
      <c r="Q384" s="21"/>
    </row>
    <row r="385" spans="17:17" x14ac:dyDescent="0.2">
      <c r="Q385" s="21"/>
    </row>
    <row r="386" spans="17:17" x14ac:dyDescent="0.2">
      <c r="Q386" s="21"/>
    </row>
    <row r="387" spans="17:17" x14ac:dyDescent="0.2">
      <c r="Q387" s="21"/>
    </row>
    <row r="388" spans="17:17" x14ac:dyDescent="0.2">
      <c r="Q388" s="21"/>
    </row>
    <row r="389" spans="17:17" x14ac:dyDescent="0.2">
      <c r="Q389" s="21"/>
    </row>
    <row r="390" spans="17:17" x14ac:dyDescent="0.2">
      <c r="Q390" s="21"/>
    </row>
    <row r="391" spans="17:17" x14ac:dyDescent="0.2">
      <c r="Q391" s="21"/>
    </row>
    <row r="392" spans="17:17" x14ac:dyDescent="0.2">
      <c r="Q392" s="21"/>
    </row>
    <row r="393" spans="17:17" x14ac:dyDescent="0.2">
      <c r="Q393" s="21"/>
    </row>
    <row r="394" spans="17:17" x14ac:dyDescent="0.2">
      <c r="Q394" s="21"/>
    </row>
    <row r="395" spans="17:17" x14ac:dyDescent="0.2">
      <c r="Q395" s="21"/>
    </row>
    <row r="396" spans="17:17" x14ac:dyDescent="0.2">
      <c r="Q396" s="21"/>
    </row>
    <row r="397" spans="17:17" x14ac:dyDescent="0.2">
      <c r="Q397" s="21"/>
    </row>
    <row r="398" spans="17:17" x14ac:dyDescent="0.2">
      <c r="Q398" s="21"/>
    </row>
    <row r="399" spans="17:17" x14ac:dyDescent="0.2">
      <c r="Q399" s="21"/>
    </row>
  </sheetData>
  <sortState xmlns:xlrd2="http://schemas.microsoft.com/office/spreadsheetml/2017/richdata2" ref="A87:U101">
    <sortCondition ref="C87:C101"/>
  </sortState>
  <customSheetViews>
    <customSheetView guid="{85BAD813-6002-444C-94EE-85A3EFC799A5}" showPageBreaks="1" printArea="1" hiddenRows="1" hiddenColumns="1" view="pageBreakPreview">
      <pane xSplit="3" ySplit="3" topLeftCell="F125" activePane="bottomRight" state="frozen"/>
      <selection pane="bottomRight" activeCell="A134" sqref="A134:O145"/>
      <rowBreaks count="1" manualBreakCount="1">
        <brk id="73" max="16" man="1"/>
      </rowBreaks>
      <pageMargins left="0" right="0" top="0" bottom="0" header="0.31496062992125984" footer="0.31496062992125984"/>
      <pageSetup paperSize="9" scale="74" orientation="landscape" r:id="rId1"/>
      <headerFooter alignWithMargins="0"/>
    </customSheetView>
    <customSheetView guid="{DF69299D-7752-4436-A45D-28F739CEE21B}" showPageBreaks="1" printArea="1" hiddenRows="1" hiddenColumns="1" view="pageBreakPreview">
      <pane xSplit="3" ySplit="3" topLeftCell="D4" activePane="bottomRight" state="frozen"/>
      <selection pane="bottomRight" activeCell="A4" sqref="A4"/>
      <rowBreaks count="1" manualBreakCount="1">
        <brk id="73" max="16" man="1"/>
      </rowBreaks>
      <pageMargins left="0" right="0" top="0" bottom="0" header="0.31496062992125984" footer="0.31496062992125984"/>
      <pageSetup paperSize="9" scale="74" orientation="landscape" r:id="rId2"/>
      <headerFooter alignWithMargins="0"/>
    </customSheetView>
    <customSheetView guid="{6C0BD6A7-6718-429D-82D9-D2FE0341EA2C}" showPageBreaks="1" printArea="1" hiddenRows="1" view="pageBreakPreview">
      <pane xSplit="3" ySplit="3" topLeftCell="D43" activePane="bottomRight" state="frozen"/>
      <selection pane="bottomRight" activeCell="B80" sqref="B80"/>
      <rowBreaks count="1" manualBreakCount="1">
        <brk id="73" max="16" man="1"/>
      </rowBreaks>
      <pageMargins left="0" right="0" top="0" bottom="0" header="0.31496062992125984" footer="0.31496062992125984"/>
      <pageSetup paperSize="8" scale="74" orientation="landscape" r:id="rId3"/>
      <headerFooter alignWithMargins="0"/>
    </customSheetView>
    <customSheetView guid="{594C4AB0-8D5F-4373-9663-410F4413FE3A}" showPageBreaks="1" printArea="1" hiddenRows="1" view="pageBreakPreview">
      <pane xSplit="3" ySplit="3" topLeftCell="D46" activePane="bottomRight" state="frozen"/>
      <selection pane="bottomRight" activeCell="P59" sqref="P59"/>
      <rowBreaks count="1" manualBreakCount="1">
        <brk id="73" max="16" man="1"/>
      </rowBreaks>
      <pageMargins left="0" right="0" top="0" bottom="0" header="0.31496062992125984" footer="0.31496062992125984"/>
      <pageSetup paperSize="8" scale="74" orientation="landscape" r:id="rId4"/>
      <headerFooter alignWithMargins="0"/>
    </customSheetView>
  </customSheetViews>
  <mergeCells count="16">
    <mergeCell ref="D125:F125"/>
    <mergeCell ref="D113:F113"/>
    <mergeCell ref="D5:F5"/>
    <mergeCell ref="D38:F38"/>
    <mergeCell ref="D51:F51"/>
    <mergeCell ref="D84:F84"/>
    <mergeCell ref="D106:F106"/>
    <mergeCell ref="D18:F18"/>
    <mergeCell ref="D25:F25"/>
    <mergeCell ref="D43:F43"/>
    <mergeCell ref="D57:F57"/>
    <mergeCell ref="D63:F63"/>
    <mergeCell ref="D69:F69"/>
    <mergeCell ref="D75:F75"/>
    <mergeCell ref="D11:F11"/>
    <mergeCell ref="D33:F33"/>
  </mergeCells>
  <phoneticPr fontId="0" type="noConversion"/>
  <pageMargins left="0" right="0" top="0" bottom="0" header="0.31496062992125984" footer="0.31496062992125984"/>
  <pageSetup paperSize="9" scale="74" orientation="landscape" r:id="rId5"/>
  <headerFooter alignWithMargins="0"/>
  <rowBreaks count="1" manualBreakCount="1">
    <brk id="73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indexed="61"/>
  </sheetPr>
  <dimension ref="A1:T130"/>
  <sheetViews>
    <sheetView view="pageBreakPreview" zoomScaleSheetLayoutView="100" workbookViewId="0">
      <pane xSplit="3" ySplit="3" topLeftCell="D60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9.140625" defaultRowHeight="11.25" x14ac:dyDescent="0.2"/>
  <cols>
    <col min="1" max="1" width="24.85546875" style="2" bestFit="1" customWidth="1"/>
    <col min="2" max="2" width="12.28515625" style="2" customWidth="1"/>
    <col min="3" max="3" width="4.42578125" style="6" customWidth="1"/>
    <col min="4" max="4" width="9.28515625" style="17" bestFit="1" customWidth="1"/>
    <col min="5" max="5" width="14" style="2" bestFit="1" customWidth="1"/>
    <col min="6" max="6" width="10.42578125" style="2" bestFit="1" customWidth="1"/>
    <col min="7" max="7" width="11.28515625" style="2" bestFit="1" customWidth="1"/>
    <col min="8" max="8" width="13.140625" style="2" bestFit="1" customWidth="1"/>
    <col min="9" max="9" width="13.42578125" style="2" bestFit="1" customWidth="1"/>
    <col min="10" max="10" width="9" style="2" hidden="1" customWidth="1"/>
    <col min="11" max="12" width="11.28515625" style="2" bestFit="1" customWidth="1"/>
    <col min="13" max="13" width="13.140625" style="2" bestFit="1" customWidth="1"/>
    <col min="14" max="14" width="12" style="2" bestFit="1" customWidth="1"/>
    <col min="15" max="15" width="14" style="2" bestFit="1" customWidth="1"/>
    <col min="16" max="16" width="6.140625" style="15" hidden="1" customWidth="1"/>
    <col min="17" max="17" width="8.85546875" style="29" bestFit="1" customWidth="1"/>
    <col min="18" max="16384" width="9.140625" style="2"/>
  </cols>
  <sheetData>
    <row r="1" spans="1:20" x14ac:dyDescent="0.2">
      <c r="A1" s="18" t="s">
        <v>1510</v>
      </c>
      <c r="D1" s="17" t="s">
        <v>22</v>
      </c>
      <c r="O1" s="2" t="s">
        <v>1485</v>
      </c>
    </row>
    <row r="3" spans="1:20" s="152" customFormat="1" ht="27" x14ac:dyDescent="0.15">
      <c r="A3" s="349" t="s">
        <v>1</v>
      </c>
      <c r="B3" s="349" t="s">
        <v>0</v>
      </c>
      <c r="C3" s="350" t="s">
        <v>2</v>
      </c>
      <c r="D3" s="351" t="s">
        <v>3</v>
      </c>
      <c r="E3" s="352" t="s">
        <v>177</v>
      </c>
      <c r="F3" s="352" t="s">
        <v>1501</v>
      </c>
      <c r="G3" s="352" t="s">
        <v>178</v>
      </c>
      <c r="H3" s="352" t="s">
        <v>179</v>
      </c>
      <c r="I3" s="352" t="s">
        <v>184</v>
      </c>
      <c r="J3" s="352" t="s">
        <v>180</v>
      </c>
      <c r="K3" s="352" t="s">
        <v>181</v>
      </c>
      <c r="L3" s="353" t="str">
        <f>+mayor!L3</f>
        <v>INTEREST</v>
      </c>
      <c r="M3" s="354" t="s">
        <v>12</v>
      </c>
      <c r="N3" s="352" t="s">
        <v>183</v>
      </c>
      <c r="O3" s="352" t="s">
        <v>182</v>
      </c>
      <c r="P3" s="355" t="s">
        <v>85</v>
      </c>
      <c r="Q3" s="356" t="s">
        <v>11</v>
      </c>
    </row>
    <row r="4" spans="1:20" s="10" customFormat="1" ht="12" thickBot="1" x14ac:dyDescent="0.25">
      <c r="A4" s="63"/>
      <c r="B4" s="63"/>
      <c r="C4" s="87"/>
      <c r="D4" s="88"/>
      <c r="E4" s="89"/>
      <c r="F4" s="89"/>
      <c r="G4" s="89"/>
      <c r="H4" s="89"/>
      <c r="I4" s="89"/>
      <c r="J4" s="89"/>
      <c r="K4" s="89"/>
      <c r="L4" s="89"/>
      <c r="M4" s="63"/>
      <c r="N4" s="89"/>
      <c r="O4" s="89"/>
      <c r="P4" s="24"/>
      <c r="Q4" s="44"/>
    </row>
    <row r="5" spans="1:20" ht="12" thickBot="1" x14ac:dyDescent="0.25">
      <c r="A5" s="330" t="s">
        <v>10</v>
      </c>
      <c r="B5" s="331" t="s">
        <v>499</v>
      </c>
      <c r="D5" s="568" t="s">
        <v>672</v>
      </c>
      <c r="E5" s="569"/>
      <c r="F5" s="570"/>
      <c r="Q5" s="21"/>
      <c r="R5" s="11"/>
      <c r="S5" s="11"/>
      <c r="T5" s="11"/>
    </row>
    <row r="6" spans="1:20" x14ac:dyDescent="0.2">
      <c r="Q6" s="21"/>
      <c r="R6" s="11"/>
      <c r="S6" s="11"/>
      <c r="T6" s="11"/>
    </row>
    <row r="7" spans="1:20" s="9" customFormat="1" x14ac:dyDescent="0.2">
      <c r="A7" s="61" t="str">
        <f>+'1-10'!C9</f>
        <v>ISUZU KB200i 2x4 [073]</v>
      </c>
      <c r="B7" s="61" t="str">
        <f>+'1-10'!R9</f>
        <v>CMB 581 L</v>
      </c>
      <c r="C7" s="54">
        <v>608</v>
      </c>
      <c r="D7" s="46">
        <v>20000</v>
      </c>
      <c r="E7" s="62">
        <f>+D7/P7*(CALC!$A$4)</f>
        <v>47976.011994002998</v>
      </c>
      <c r="F7" s="37">
        <v>3000</v>
      </c>
      <c r="G7" s="37">
        <f>5482*(1+CALC!$A$2)</f>
        <v>3974.45</v>
      </c>
      <c r="H7" s="37">
        <v>35000</v>
      </c>
      <c r="I7" s="37">
        <v>15393.84</v>
      </c>
      <c r="J7" s="37"/>
      <c r="K7" s="37">
        <v>960</v>
      </c>
      <c r="L7" s="37"/>
      <c r="M7" s="37">
        <f>SUM(E7:L7)</f>
        <v>106304.30199400299</v>
      </c>
      <c r="N7" s="32">
        <f>M7/CALC!$A$8*CALC!$A$6</f>
        <v>4045.3718836732742</v>
      </c>
      <c r="O7" s="37">
        <f>+M7+N7</f>
        <v>110349.67387767626</v>
      </c>
      <c r="P7" s="48">
        <v>6.67</v>
      </c>
      <c r="Q7" s="49"/>
      <c r="R7" s="25"/>
      <c r="S7" s="25"/>
      <c r="T7" s="25"/>
    </row>
    <row r="8" spans="1:20" s="9" customFormat="1" x14ac:dyDescent="0.2">
      <c r="A8" s="61" t="str">
        <f>+'1-10'!C10</f>
        <v>ISUZU KB200i 2x4 [073]</v>
      </c>
      <c r="B8" s="61" t="str">
        <f>+'1-10'!R10</f>
        <v>CMB 583 L</v>
      </c>
      <c r="C8" s="54">
        <v>609</v>
      </c>
      <c r="D8" s="46">
        <v>30000</v>
      </c>
      <c r="E8" s="62">
        <f>+D8/P8*(CALC!$A$4)</f>
        <v>71964.017991004497</v>
      </c>
      <c r="F8" s="37">
        <v>3000</v>
      </c>
      <c r="G8" s="37">
        <f>5482*(1+CALC!$A$2)</f>
        <v>3974.45</v>
      </c>
      <c r="H8" s="37">
        <v>35000</v>
      </c>
      <c r="I8" s="37">
        <v>11166.61</v>
      </c>
      <c r="J8" s="37"/>
      <c r="K8" s="37">
        <v>960</v>
      </c>
      <c r="L8" s="37"/>
      <c r="M8" s="37">
        <f t="shared" ref="M8:M14" si="0">SUM(E8:L8)</f>
        <v>126065.07799100449</v>
      </c>
      <c r="N8" s="32">
        <f>M8/CALC!$A$8*CALC!$A$6</f>
        <v>4797.3610893626665</v>
      </c>
      <c r="O8" s="37">
        <f t="shared" ref="O8:O14" si="1">+M8+N8</f>
        <v>130862.43908036716</v>
      </c>
      <c r="P8" s="48">
        <v>6.67</v>
      </c>
      <c r="Q8" s="49"/>
      <c r="R8" s="25"/>
      <c r="S8" s="25"/>
      <c r="T8" s="25"/>
    </row>
    <row r="9" spans="1:20" s="9" customFormat="1" x14ac:dyDescent="0.2">
      <c r="A9" s="61" t="str">
        <f>+'1-10'!C11</f>
        <v>ISUZU KB200i 2x4 [093]</v>
      </c>
      <c r="B9" s="61" t="str">
        <f>+'1-10'!R11</f>
        <v>CMB 613 L</v>
      </c>
      <c r="C9" s="54">
        <v>610</v>
      </c>
      <c r="D9" s="46">
        <v>30000</v>
      </c>
      <c r="E9" s="62">
        <f>+D9/P9*(CALC!$A$4)</f>
        <v>71964.017991004497</v>
      </c>
      <c r="F9" s="37">
        <v>3000</v>
      </c>
      <c r="G9" s="37">
        <f>5482*(1+CALC!$A$2)</f>
        <v>3974.45</v>
      </c>
      <c r="H9" s="37">
        <v>35000</v>
      </c>
      <c r="I9" s="37">
        <v>15393.84</v>
      </c>
      <c r="J9" s="37"/>
      <c r="K9" s="37">
        <v>960</v>
      </c>
      <c r="L9" s="37"/>
      <c r="M9" s="37">
        <f t="shared" si="0"/>
        <v>130292.30799100449</v>
      </c>
      <c r="N9" s="32">
        <f>M9/CALC!$A$8*CALC!$A$6</f>
        <v>4958.2268028573544</v>
      </c>
      <c r="O9" s="37">
        <f t="shared" si="1"/>
        <v>135250.53479386185</v>
      </c>
      <c r="P9" s="48">
        <v>6.67</v>
      </c>
      <c r="Q9" s="49"/>
      <c r="R9" s="25"/>
      <c r="S9" s="25"/>
      <c r="T9" s="25"/>
    </row>
    <row r="10" spans="1:20" s="9" customFormat="1" x14ac:dyDescent="0.2">
      <c r="A10" s="61" t="str">
        <f>+'1-10'!C13</f>
        <v>ISUZU KB200i 2x4 [083]</v>
      </c>
      <c r="B10" s="61" t="str">
        <f>+'1-10'!R13</f>
        <v>CMB 595 L</v>
      </c>
      <c r="C10" s="54">
        <v>612</v>
      </c>
      <c r="D10" s="46">
        <v>30000</v>
      </c>
      <c r="E10" s="62">
        <f>+D10/P10*(CALC!$A$4)</f>
        <v>71964.017991004497</v>
      </c>
      <c r="F10" s="37">
        <v>3000</v>
      </c>
      <c r="G10" s="37">
        <f>5482*(1+CALC!$A$2)</f>
        <v>3974.45</v>
      </c>
      <c r="H10" s="37">
        <v>35000</v>
      </c>
      <c r="I10" s="567">
        <v>15393.84</v>
      </c>
      <c r="J10" s="37"/>
      <c r="K10" s="37">
        <v>960</v>
      </c>
      <c r="L10" s="37"/>
      <c r="M10" s="37">
        <f t="shared" si="0"/>
        <v>130292.30799100449</v>
      </c>
      <c r="N10" s="32">
        <f>M10/CALC!$A$8*CALC!$A$6</f>
        <v>4958.2268028573544</v>
      </c>
      <c r="O10" s="37">
        <f t="shared" si="1"/>
        <v>135250.53479386185</v>
      </c>
      <c r="P10" s="48">
        <v>6.67</v>
      </c>
      <c r="Q10" s="49"/>
      <c r="R10" s="25"/>
      <c r="S10" s="25"/>
      <c r="T10" s="25"/>
    </row>
    <row r="11" spans="1:20" s="9" customFormat="1" x14ac:dyDescent="0.2">
      <c r="A11" s="61" t="str">
        <f>+'1-10'!C16</f>
        <v>ISUZU KB200i 2x4 [073]</v>
      </c>
      <c r="B11" s="61" t="str">
        <f>+'1-10'!R16</f>
        <v>CMB 403 L</v>
      </c>
      <c r="C11" s="54">
        <v>615</v>
      </c>
      <c r="D11" s="46">
        <v>30000</v>
      </c>
      <c r="E11" s="62">
        <f>+D11/P11*(CALC!$A$4)</f>
        <v>71964.017991004497</v>
      </c>
      <c r="F11" s="37">
        <v>3000</v>
      </c>
      <c r="G11" s="37">
        <f>5482*(1+CALC!$A$2)</f>
        <v>3974.45</v>
      </c>
      <c r="H11" s="37">
        <v>35000</v>
      </c>
      <c r="I11" s="37">
        <v>15393.84</v>
      </c>
      <c r="J11" s="37"/>
      <c r="K11" s="37">
        <v>960</v>
      </c>
      <c r="L11" s="37"/>
      <c r="M11" s="37">
        <f t="shared" si="0"/>
        <v>130292.30799100449</v>
      </c>
      <c r="N11" s="32">
        <f>M11/CALC!$A$8*CALC!$A$6</f>
        <v>4958.2268028573544</v>
      </c>
      <c r="O11" s="37">
        <f t="shared" si="1"/>
        <v>135250.53479386185</v>
      </c>
      <c r="P11" s="48">
        <v>6.67</v>
      </c>
      <c r="Q11" s="49"/>
      <c r="R11" s="25"/>
      <c r="S11" s="25"/>
      <c r="T11" s="25"/>
    </row>
    <row r="12" spans="1:20" s="9" customFormat="1" x14ac:dyDescent="0.2">
      <c r="A12" s="61" t="str">
        <f>+'1-10'!C18</f>
        <v>ISUZU KB200i 2x4 [093]</v>
      </c>
      <c r="B12" s="61" t="str">
        <f>+'1-10'!R18</f>
        <v>CMB 433 L</v>
      </c>
      <c r="C12" s="54">
        <v>617</v>
      </c>
      <c r="D12" s="46">
        <v>8000</v>
      </c>
      <c r="E12" s="62">
        <f>+D12/P12*(CALC!$A$4)</f>
        <v>19190.404797601201</v>
      </c>
      <c r="F12" s="37">
        <v>3000</v>
      </c>
      <c r="G12" s="37">
        <f>5482*(1+CALC!$A$2)</f>
        <v>3974.45</v>
      </c>
      <c r="H12" s="37">
        <v>35000</v>
      </c>
      <c r="I12" s="37">
        <v>15393.84</v>
      </c>
      <c r="J12" s="37"/>
      <c r="K12" s="37">
        <v>960</v>
      </c>
      <c r="L12" s="37"/>
      <c r="M12" s="37">
        <f t="shared" si="0"/>
        <v>77518.694797601202</v>
      </c>
      <c r="N12" s="32">
        <f>M12/CALC!$A$8*CALC!$A$6</f>
        <v>2949.9459806523773</v>
      </c>
      <c r="O12" s="37">
        <f t="shared" si="1"/>
        <v>80468.640778253583</v>
      </c>
      <c r="P12" s="48">
        <v>6.67</v>
      </c>
      <c r="Q12" s="49"/>
      <c r="R12" s="25"/>
      <c r="S12" s="25"/>
      <c r="T12" s="25"/>
    </row>
    <row r="13" spans="1:20" s="9" customFormat="1" x14ac:dyDescent="0.2">
      <c r="A13" s="61" t="str">
        <f>+'1-10'!C19</f>
        <v>ISUZU KB200i 2x4 [093]</v>
      </c>
      <c r="B13" s="61" t="str">
        <f>+'1-10'!R19</f>
        <v>CMB 461 L</v>
      </c>
      <c r="C13" s="54">
        <v>618</v>
      </c>
      <c r="D13" s="46">
        <v>20000</v>
      </c>
      <c r="E13" s="62">
        <f>+D13/P13*(CALC!$A$4)</f>
        <v>47976.011994002998</v>
      </c>
      <c r="F13" s="37">
        <v>3000</v>
      </c>
      <c r="G13" s="37">
        <f>5482*(1+CALC!$A$2)</f>
        <v>3974.45</v>
      </c>
      <c r="H13" s="37">
        <v>35000</v>
      </c>
      <c r="I13" s="37">
        <v>15393.84</v>
      </c>
      <c r="J13" s="37"/>
      <c r="K13" s="37">
        <v>960</v>
      </c>
      <c r="L13" s="37"/>
      <c r="M13" s="37">
        <f t="shared" si="0"/>
        <v>106304.30199400299</v>
      </c>
      <c r="N13" s="32">
        <f>M13/CALC!$A$8*CALC!$A$6</f>
        <v>4045.3718836732742</v>
      </c>
      <c r="O13" s="37">
        <f t="shared" si="1"/>
        <v>110349.67387767626</v>
      </c>
      <c r="P13" s="48">
        <v>6.67</v>
      </c>
      <c r="Q13" s="49"/>
      <c r="R13" s="25"/>
      <c r="S13" s="25"/>
      <c r="T13" s="25"/>
    </row>
    <row r="14" spans="1:20" s="9" customFormat="1" x14ac:dyDescent="0.2">
      <c r="A14" s="61" t="str">
        <f>+'1-10'!C22</f>
        <v>ISUZU KB200i 2x4 [073]</v>
      </c>
      <c r="B14" s="61" t="str">
        <f>+'1-10'!R22</f>
        <v>CMB 588 L</v>
      </c>
      <c r="C14" s="54">
        <v>621</v>
      </c>
      <c r="D14" s="46">
        <v>20000</v>
      </c>
      <c r="E14" s="62">
        <f>+D14/P14*(CALC!$A$4)</f>
        <v>47976.011994002998</v>
      </c>
      <c r="F14" s="37">
        <v>3000</v>
      </c>
      <c r="G14" s="37">
        <f>5482*(1+CALC!$A$2)</f>
        <v>3974.45</v>
      </c>
      <c r="H14" s="37">
        <v>35000</v>
      </c>
      <c r="I14" s="567">
        <v>15393.84</v>
      </c>
      <c r="J14" s="37"/>
      <c r="K14" s="37">
        <v>960</v>
      </c>
      <c r="L14" s="37"/>
      <c r="M14" s="37">
        <f t="shared" si="0"/>
        <v>106304.30199400299</v>
      </c>
      <c r="N14" s="32">
        <f>M14/CALC!$A$8*CALC!$A$6</f>
        <v>4045.3718836732742</v>
      </c>
      <c r="O14" s="37">
        <f t="shared" si="1"/>
        <v>110349.67387767626</v>
      </c>
      <c r="P14" s="48">
        <v>6.67</v>
      </c>
      <c r="Q14" s="49"/>
      <c r="R14" s="25"/>
      <c r="S14" s="25"/>
      <c r="T14" s="25"/>
    </row>
    <row r="15" spans="1:20" s="9" customFormat="1" x14ac:dyDescent="0.2">
      <c r="A15" s="61" t="str">
        <f>+'1-10'!C23</f>
        <v>ISUZU KB200i 2x4 [073]</v>
      </c>
      <c r="B15" s="61" t="str">
        <f>+'1-10'!R23</f>
        <v>CMB 587 L</v>
      </c>
      <c r="C15" s="54">
        <v>622</v>
      </c>
      <c r="D15" s="46">
        <v>8000</v>
      </c>
      <c r="E15" s="62">
        <f>+D15/P15*(CALC!$A$4)</f>
        <v>19190.404797601201</v>
      </c>
      <c r="F15" s="37">
        <v>3000</v>
      </c>
      <c r="G15" s="37">
        <f>5482*(1+CALC!$A$2)</f>
        <v>3974.45</v>
      </c>
      <c r="H15" s="37">
        <v>35000</v>
      </c>
      <c r="I15" s="37">
        <v>15393.84</v>
      </c>
      <c r="J15" s="37"/>
      <c r="K15" s="37">
        <v>960</v>
      </c>
      <c r="L15" s="37"/>
      <c r="M15" s="37">
        <f>SUM(E15:L15)</f>
        <v>77518.694797601202</v>
      </c>
      <c r="N15" s="32">
        <f>M15/CALC!$A$8*CALC!$A$6</f>
        <v>2949.9459806523773</v>
      </c>
      <c r="O15" s="37">
        <f>+M15+N15</f>
        <v>80468.640778253583</v>
      </c>
      <c r="P15" s="48">
        <v>6.67</v>
      </c>
      <c r="Q15" s="49"/>
      <c r="R15" s="25"/>
      <c r="S15" s="25"/>
      <c r="T15" s="25"/>
    </row>
    <row r="16" spans="1:20" s="9" customFormat="1" x14ac:dyDescent="0.2">
      <c r="A16" s="61" t="str">
        <f>+'1-10'!C24</f>
        <v>ISUZU KB200i 2x4 [073]</v>
      </c>
      <c r="B16" s="61" t="str">
        <f>+'1-10'!R24</f>
        <v>CMB 495 L</v>
      </c>
      <c r="C16" s="54">
        <v>623</v>
      </c>
      <c r="D16" s="46">
        <v>20000</v>
      </c>
      <c r="E16" s="62">
        <f>+D16/P16*(CALC!$A$4)</f>
        <v>47976.011994002998</v>
      </c>
      <c r="F16" s="37">
        <v>3000</v>
      </c>
      <c r="G16" s="37">
        <f>5482*(1+CALC!$A$2)</f>
        <v>3974.45</v>
      </c>
      <c r="H16" s="37">
        <v>35000</v>
      </c>
      <c r="I16" s="37">
        <v>15393.84</v>
      </c>
      <c r="J16" s="37"/>
      <c r="K16" s="37">
        <v>960</v>
      </c>
      <c r="L16" s="37"/>
      <c r="M16" s="37">
        <f>SUM(E16:L16)</f>
        <v>106304.30199400299</v>
      </c>
      <c r="N16" s="32">
        <f>M16/CALC!$A$8*CALC!$A$6</f>
        <v>4045.3718836732742</v>
      </c>
      <c r="O16" s="37">
        <f>+M16+N16</f>
        <v>110349.67387767626</v>
      </c>
      <c r="P16" s="48">
        <v>6.67</v>
      </c>
      <c r="Q16" s="49"/>
    </row>
    <row r="17" spans="1:20" x14ac:dyDescent="0.2">
      <c r="A17" s="12"/>
      <c r="B17" s="12"/>
      <c r="C17" s="19"/>
      <c r="D17" s="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31"/>
      <c r="Q17" s="21"/>
      <c r="R17" s="11"/>
      <c r="S17" s="11"/>
      <c r="T17" s="11"/>
    </row>
    <row r="18" spans="1:20" s="18" customFormat="1" x14ac:dyDescent="0.2">
      <c r="A18" s="35"/>
      <c r="B18" s="4" t="s">
        <v>14</v>
      </c>
      <c r="C18" s="26"/>
      <c r="D18" s="16">
        <f>SUM(D7:D17)</f>
        <v>216000</v>
      </c>
      <c r="E18" s="14">
        <f>SUM(E7:E17)</f>
        <v>518140.92953523248</v>
      </c>
      <c r="F18" s="14">
        <f t="shared" ref="F18:K18" si="2">SUM(F7:F17)</f>
        <v>30000</v>
      </c>
      <c r="G18" s="14">
        <f t="shared" si="2"/>
        <v>39744.5</v>
      </c>
      <c r="H18" s="14">
        <f t="shared" si="2"/>
        <v>350000</v>
      </c>
      <c r="I18" s="14">
        <f t="shared" si="2"/>
        <v>149711.16999999998</v>
      </c>
      <c r="J18" s="14">
        <f t="shared" si="2"/>
        <v>0</v>
      </c>
      <c r="K18" s="14">
        <f t="shared" si="2"/>
        <v>9600</v>
      </c>
      <c r="L18" s="14">
        <f>SUM(L7:L17)</f>
        <v>0</v>
      </c>
      <c r="M18" s="14">
        <f>SUM(M7:M17)</f>
        <v>1097196.5995352324</v>
      </c>
      <c r="N18" s="14">
        <f>M18/CALC!$A$8*CALC!$A$6</f>
        <v>41753.420993932588</v>
      </c>
      <c r="O18" s="14">
        <f>+M18+N18</f>
        <v>1138950.0205291649</v>
      </c>
      <c r="P18" s="33"/>
      <c r="Q18" s="135">
        <f>(+O18/D18)*(1+CALC!$A$3)</f>
        <v>5.2729167617090971</v>
      </c>
      <c r="R18" s="35"/>
      <c r="S18" s="35"/>
      <c r="T18" s="35"/>
    </row>
    <row r="19" spans="1:20" s="18" customFormat="1" ht="12" thickBot="1" x14ac:dyDescent="0.25">
      <c r="A19" s="35"/>
      <c r="B19" s="35"/>
      <c r="C19" s="39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36"/>
      <c r="R19" s="35"/>
      <c r="S19" s="35"/>
      <c r="T19" s="35"/>
    </row>
    <row r="20" spans="1:20" ht="12" thickBot="1" x14ac:dyDescent="0.25">
      <c r="A20" s="330" t="s">
        <v>10</v>
      </c>
      <c r="B20" s="331" t="s">
        <v>500</v>
      </c>
      <c r="D20" s="568" t="s">
        <v>247</v>
      </c>
      <c r="E20" s="569"/>
      <c r="F20" s="570"/>
      <c r="Q20" s="21"/>
      <c r="R20" s="11"/>
      <c r="S20" s="11"/>
      <c r="T20" s="11"/>
    </row>
    <row r="21" spans="1:20" x14ac:dyDescent="0.2">
      <c r="Q21" s="21"/>
      <c r="R21" s="11"/>
      <c r="S21" s="11"/>
      <c r="T21" s="11"/>
    </row>
    <row r="22" spans="1:20" s="9" customFormat="1" x14ac:dyDescent="0.2">
      <c r="A22" s="322" t="str">
        <f>+'1-10'!C46</f>
        <v>NISSAN NP 300 4X4 [073]</v>
      </c>
      <c r="B22" s="61" t="str">
        <f>+'1-10'!R46</f>
        <v>CLW 834 L</v>
      </c>
      <c r="C22" s="54">
        <v>645</v>
      </c>
      <c r="D22" s="46">
        <v>15000</v>
      </c>
      <c r="E22" s="62">
        <f>+D22/P22*(CALC!$A$4)</f>
        <v>26402.640264026402</v>
      </c>
      <c r="F22" s="37">
        <v>3000</v>
      </c>
      <c r="G22" s="37">
        <f>5482*(1+CALC!$A$2)</f>
        <v>3974.45</v>
      </c>
      <c r="H22" s="37">
        <v>35000</v>
      </c>
      <c r="I22" s="567">
        <v>21727.63</v>
      </c>
      <c r="J22" s="37"/>
      <c r="K22" s="37">
        <v>1200</v>
      </c>
      <c r="L22" s="37"/>
      <c r="M22" s="37">
        <f>SUM(E22:L22)</f>
        <v>91304.7202640264</v>
      </c>
      <c r="N22" s="32">
        <f>M22/CALC!$A$8*CALC!$A$6</f>
        <v>3474.5682091359095</v>
      </c>
      <c r="O22" s="37">
        <f>+M22+N22</f>
        <v>94779.288473162305</v>
      </c>
      <c r="P22" s="48">
        <v>9.09</v>
      </c>
      <c r="Q22" s="51"/>
      <c r="R22" s="25"/>
      <c r="S22" s="25"/>
      <c r="T22" s="25"/>
    </row>
    <row r="23" spans="1:20" s="9" customFormat="1" x14ac:dyDescent="0.2">
      <c r="A23" s="322" t="str">
        <f>+'1-10'!C47</f>
        <v>NISSAN NP 300 4X4 [073]</v>
      </c>
      <c r="B23" s="61" t="str">
        <f>+'1-10'!R47</f>
        <v>CLW 868 L</v>
      </c>
      <c r="C23" s="54">
        <v>646</v>
      </c>
      <c r="D23" s="46">
        <v>15000</v>
      </c>
      <c r="E23" s="62">
        <f>+D23/P23*(CALC!$A$4)</f>
        <v>26402.640264026402</v>
      </c>
      <c r="F23" s="37">
        <v>3000</v>
      </c>
      <c r="G23" s="37">
        <f>5482*(1+CALC!$A$2)</f>
        <v>3974.45</v>
      </c>
      <c r="H23" s="37">
        <v>35000</v>
      </c>
      <c r="I23" s="567">
        <v>21674.76</v>
      </c>
      <c r="J23" s="37"/>
      <c r="K23" s="37">
        <v>1200</v>
      </c>
      <c r="L23" s="37"/>
      <c r="M23" s="37">
        <f>SUM(E23:L23)</f>
        <v>91251.850264026391</v>
      </c>
      <c r="N23" s="32">
        <f>M23/CALC!$A$8*CALC!$A$6</f>
        <v>3472.5562603485319</v>
      </c>
      <c r="O23" s="37">
        <f>+M23+N23</f>
        <v>94724.406524374921</v>
      </c>
      <c r="P23" s="48">
        <v>9.09</v>
      </c>
      <c r="Q23" s="51"/>
      <c r="R23" s="25"/>
      <c r="S23" s="25"/>
      <c r="T23" s="25"/>
    </row>
    <row r="24" spans="1:20" s="9" customFormat="1" x14ac:dyDescent="0.2">
      <c r="A24" s="322" t="str">
        <f>+'1-10'!C49</f>
        <v>NISSAN NP 300 4X4 [073]</v>
      </c>
      <c r="B24" s="61" t="str">
        <f>+'1-10'!R49</f>
        <v>CLW 542 L</v>
      </c>
      <c r="C24" s="54">
        <v>648</v>
      </c>
      <c r="D24" s="46">
        <v>15000</v>
      </c>
      <c r="E24" s="62">
        <f>+D24/P24*(CALC!$A$4)</f>
        <v>26402.640264026402</v>
      </c>
      <c r="F24" s="37">
        <v>3000</v>
      </c>
      <c r="G24" s="37">
        <f>5482*(1+CALC!$A$2)</f>
        <v>3974.45</v>
      </c>
      <c r="H24" s="37">
        <v>35000</v>
      </c>
      <c r="I24" s="37">
        <v>22699.42</v>
      </c>
      <c r="J24" s="37"/>
      <c r="K24" s="37">
        <v>1200</v>
      </c>
      <c r="L24" s="37"/>
      <c r="M24" s="37">
        <f>SUM(E24:L24)</f>
        <v>92276.510264026394</v>
      </c>
      <c r="N24" s="32">
        <f>M24/CALC!$A$8*CALC!$A$6</f>
        <v>3511.5493272006947</v>
      </c>
      <c r="O24" s="37">
        <f>+M24+N24</f>
        <v>95788.059591227095</v>
      </c>
      <c r="P24" s="48">
        <v>9.09</v>
      </c>
      <c r="Q24" s="51"/>
      <c r="R24" s="25"/>
      <c r="S24" s="25"/>
      <c r="T24" s="25"/>
    </row>
    <row r="25" spans="1:20" s="18" customFormat="1" x14ac:dyDescent="0.2">
      <c r="A25" s="357"/>
      <c r="B25" s="4" t="s">
        <v>14</v>
      </c>
      <c r="C25" s="26"/>
      <c r="D25" s="16">
        <f t="shared" ref="D25:M25" si="3">SUM(D22:D24)</f>
        <v>45000</v>
      </c>
      <c r="E25" s="14">
        <f t="shared" si="3"/>
        <v>79207.920792079211</v>
      </c>
      <c r="F25" s="14">
        <f t="shared" si="3"/>
        <v>9000</v>
      </c>
      <c r="G25" s="14">
        <f t="shared" si="3"/>
        <v>11923.349999999999</v>
      </c>
      <c r="H25" s="14">
        <f t="shared" si="3"/>
        <v>105000</v>
      </c>
      <c r="I25" s="14">
        <f t="shared" si="3"/>
        <v>66101.81</v>
      </c>
      <c r="J25" s="14">
        <f t="shared" si="3"/>
        <v>0</v>
      </c>
      <c r="K25" s="14">
        <f t="shared" si="3"/>
        <v>3600</v>
      </c>
      <c r="L25" s="14">
        <f>SUM(L22:L24)</f>
        <v>0</v>
      </c>
      <c r="M25" s="14">
        <f t="shared" si="3"/>
        <v>274833.08079207921</v>
      </c>
      <c r="N25" s="14">
        <f>M25/CALC!$A$8*CALC!$A$6</f>
        <v>10458.673796685136</v>
      </c>
      <c r="O25" s="14">
        <f>+M25+N25</f>
        <v>285291.75458876434</v>
      </c>
      <c r="P25" s="33"/>
      <c r="Q25" s="135">
        <f>(+O25/D25)*(1+CALC!$A$3)</f>
        <v>6.3398167686392073</v>
      </c>
      <c r="R25" s="35"/>
      <c r="S25" s="35"/>
      <c r="T25" s="35"/>
    </row>
    <row r="26" spans="1:20" ht="12" thickBot="1" x14ac:dyDescent="0.25">
      <c r="Q26" s="151"/>
      <c r="R26" s="11"/>
      <c r="S26" s="11"/>
      <c r="T26" s="11"/>
    </row>
    <row r="27" spans="1:20" ht="12" thickBot="1" x14ac:dyDescent="0.25">
      <c r="A27" s="330" t="s">
        <v>10</v>
      </c>
      <c r="B27" s="331" t="s">
        <v>501</v>
      </c>
      <c r="D27" s="568" t="s">
        <v>674</v>
      </c>
      <c r="E27" s="569"/>
      <c r="F27" s="570"/>
      <c r="Q27" s="21"/>
      <c r="R27" s="11"/>
      <c r="S27" s="11"/>
      <c r="T27" s="11"/>
    </row>
    <row r="28" spans="1:20" s="9" customFormat="1" x14ac:dyDescent="0.2">
      <c r="A28" s="61"/>
      <c r="B28" s="61"/>
      <c r="C28" s="54"/>
      <c r="D28" s="46"/>
      <c r="E28" s="62"/>
      <c r="F28" s="37"/>
      <c r="G28" s="37"/>
      <c r="H28" s="37"/>
      <c r="I28" s="37"/>
      <c r="J28" s="37"/>
      <c r="K28" s="37"/>
      <c r="L28" s="37"/>
      <c r="M28" s="37"/>
      <c r="N28" s="32"/>
      <c r="O28" s="37"/>
      <c r="P28" s="48"/>
      <c r="Q28" s="36"/>
    </row>
    <row r="29" spans="1:20" s="10" customFormat="1" x14ac:dyDescent="0.2">
      <c r="A29" s="322" t="str">
        <f>+'1-10'!C65</f>
        <v>NISSAN   UD 40A M02 [073]</v>
      </c>
      <c r="B29" s="3" t="str">
        <f>+'1-10'!R65</f>
        <v>CMN 476 L</v>
      </c>
      <c r="C29" s="136">
        <v>664</v>
      </c>
      <c r="D29" s="137">
        <v>15000</v>
      </c>
      <c r="E29" s="138">
        <f>+D29/P29*(CALC!$A$4)</f>
        <v>120000</v>
      </c>
      <c r="F29" s="32">
        <v>3000</v>
      </c>
      <c r="G29" s="32">
        <f>6057.27*(1+CALC!$A$2)</f>
        <v>4391.5207500000006</v>
      </c>
      <c r="H29" s="32">
        <f>70000</f>
        <v>70000</v>
      </c>
      <c r="I29" s="32">
        <v>29322.53</v>
      </c>
      <c r="J29" s="32"/>
      <c r="K29" s="37">
        <v>2400</v>
      </c>
      <c r="L29" s="37"/>
      <c r="M29" s="32">
        <f>SUM(E29:L29)</f>
        <v>229114.05074999999</v>
      </c>
      <c r="N29" s="32">
        <f>M29/CALC!$A$8*CALC!$A$6</f>
        <v>8718.8525927278897</v>
      </c>
      <c r="O29" s="32">
        <f>+M29+N29</f>
        <v>237832.90334272789</v>
      </c>
      <c r="P29" s="50">
        <v>2</v>
      </c>
      <c r="Q29" s="51"/>
    </row>
    <row r="30" spans="1:20" s="18" customFormat="1" x14ac:dyDescent="0.2">
      <c r="A30" s="35"/>
      <c r="B30" s="4" t="s">
        <v>14</v>
      </c>
      <c r="C30" s="26"/>
      <c r="D30" s="16">
        <f t="shared" ref="D30:K30" si="4">SUM(D28:D29)</f>
        <v>15000</v>
      </c>
      <c r="E30" s="14">
        <f t="shared" si="4"/>
        <v>120000</v>
      </c>
      <c r="F30" s="14">
        <f t="shared" si="4"/>
        <v>3000</v>
      </c>
      <c r="G30" s="32">
        <f>6057.27*(1+CALC!$A$2)</f>
        <v>4391.5207500000006</v>
      </c>
      <c r="H30" s="32">
        <f>H29</f>
        <v>70000</v>
      </c>
      <c r="I30" s="14">
        <f t="shared" si="4"/>
        <v>29322.53</v>
      </c>
      <c r="J30" s="14">
        <f t="shared" si="4"/>
        <v>0</v>
      </c>
      <c r="K30" s="14">
        <f t="shared" si="4"/>
        <v>2400</v>
      </c>
      <c r="L30" s="14">
        <f>SUM(L29)</f>
        <v>0</v>
      </c>
      <c r="M30" s="14">
        <f>SUM(M28:M29)</f>
        <v>229114.05074999999</v>
      </c>
      <c r="N30" s="14">
        <f>M30/CALC!$A$8*CALC!$A$6</f>
        <v>8718.8525927278897</v>
      </c>
      <c r="O30" s="14">
        <f>+M30+N30</f>
        <v>237832.90334272789</v>
      </c>
      <c r="P30" s="33"/>
      <c r="Q30" s="135">
        <f>(+O30/D30)*(1+CALC!$A$3)</f>
        <v>15.855526889515193</v>
      </c>
      <c r="R30" s="35"/>
      <c r="S30" s="35"/>
      <c r="T30" s="35"/>
    </row>
    <row r="31" spans="1:20" ht="12" thickBot="1" x14ac:dyDescent="0.25">
      <c r="Q31" s="21"/>
      <c r="R31" s="11"/>
      <c r="S31" s="11"/>
      <c r="T31" s="11"/>
    </row>
    <row r="32" spans="1:20" ht="12" thickBot="1" x14ac:dyDescent="0.25">
      <c r="A32" s="330" t="s">
        <v>10</v>
      </c>
      <c r="B32" s="331" t="s">
        <v>502</v>
      </c>
      <c r="D32" s="568" t="s">
        <v>677</v>
      </c>
      <c r="E32" s="569"/>
      <c r="F32" s="570"/>
      <c r="Q32" s="21"/>
      <c r="R32" s="11"/>
      <c r="S32" s="11"/>
      <c r="T32" s="11"/>
    </row>
    <row r="33" spans="1:20" x14ac:dyDescent="0.2">
      <c r="Q33" s="21"/>
      <c r="R33" s="11"/>
      <c r="S33" s="11"/>
      <c r="T33" s="11"/>
    </row>
    <row r="34" spans="1:20" s="9" customFormat="1" x14ac:dyDescent="0.2">
      <c r="A34" s="321" t="str">
        <f>+'1-10'!C82</f>
        <v>NISSAN  UD 85   TIPPER [063]</v>
      </c>
      <c r="B34" s="61" t="str">
        <f>+'1-10'!R82</f>
        <v>CMX 083 L</v>
      </c>
      <c r="C34" s="54">
        <v>681</v>
      </c>
      <c r="D34" s="46">
        <v>15000</v>
      </c>
      <c r="E34" s="62">
        <f>+D34/P34*(CALC!$A$4)</f>
        <v>160000</v>
      </c>
      <c r="F34" s="37">
        <v>3000</v>
      </c>
      <c r="G34" s="32">
        <f>6057.27*(1+CALC!$A$2)</f>
        <v>4391.5207500000006</v>
      </c>
      <c r="H34" s="32">
        <f>95000</f>
        <v>95000</v>
      </c>
      <c r="I34" s="37">
        <v>53095.14</v>
      </c>
      <c r="J34" s="37"/>
      <c r="K34" s="37">
        <v>17160</v>
      </c>
      <c r="L34" s="37"/>
      <c r="M34" s="37">
        <f>SUM(E34:L34)</f>
        <v>332646.66075000004</v>
      </c>
      <c r="N34" s="32">
        <f>M34/CALC!$A$8*CALC!$A$6</f>
        <v>12658.748736920983</v>
      </c>
      <c r="O34" s="37">
        <f>+M34+N34</f>
        <v>345305.40948692104</v>
      </c>
      <c r="P34" s="48">
        <v>1.5</v>
      </c>
      <c r="Q34" s="51"/>
      <c r="R34" s="25"/>
      <c r="S34" s="25"/>
      <c r="T34" s="25"/>
    </row>
    <row r="35" spans="1:20" s="10" customFormat="1" x14ac:dyDescent="0.2">
      <c r="A35" s="63"/>
      <c r="B35" s="3" t="s">
        <v>14</v>
      </c>
      <c r="C35" s="136"/>
      <c r="D35" s="137">
        <f t="shared" ref="D35:K35" si="5">SUM(D34:D34)</f>
        <v>15000</v>
      </c>
      <c r="E35" s="32">
        <f t="shared" si="5"/>
        <v>160000</v>
      </c>
      <c r="F35" s="32">
        <f t="shared" si="5"/>
        <v>3000</v>
      </c>
      <c r="G35" s="32">
        <f t="shared" si="5"/>
        <v>4391.5207500000006</v>
      </c>
      <c r="H35" s="32">
        <f t="shared" si="5"/>
        <v>95000</v>
      </c>
      <c r="I35" s="32">
        <f t="shared" si="5"/>
        <v>53095.14</v>
      </c>
      <c r="J35" s="32">
        <f t="shared" si="5"/>
        <v>0</v>
      </c>
      <c r="K35" s="32">
        <f t="shared" si="5"/>
        <v>17160</v>
      </c>
      <c r="L35" s="32">
        <f>SUM(L34)</f>
        <v>0</v>
      </c>
      <c r="M35" s="32">
        <f>SUM(M34:M34)</f>
        <v>332646.66075000004</v>
      </c>
      <c r="N35" s="32">
        <f>M35/CALC!$A$8*CALC!$A$6</f>
        <v>12658.748736920983</v>
      </c>
      <c r="O35" s="32">
        <f>+M35+N35</f>
        <v>345305.40948692104</v>
      </c>
      <c r="P35" s="50"/>
      <c r="Q35" s="51">
        <f>(+O35/D35)*(1+CALC!$A$3)</f>
        <v>23.020360632461404</v>
      </c>
      <c r="R35" s="63"/>
      <c r="S35" s="63"/>
      <c r="T35" s="63"/>
    </row>
    <row r="36" spans="1:20" ht="12" thickBot="1" x14ac:dyDescent="0.25">
      <c r="Q36" s="21"/>
      <c r="R36" s="11"/>
      <c r="S36" s="11"/>
      <c r="T36" s="11"/>
    </row>
    <row r="37" spans="1:20" ht="12" thickBot="1" x14ac:dyDescent="0.25">
      <c r="A37" s="330" t="s">
        <v>10</v>
      </c>
      <c r="B37" s="331" t="s">
        <v>687</v>
      </c>
      <c r="D37" s="568" t="s">
        <v>678</v>
      </c>
      <c r="E37" s="569"/>
      <c r="F37" s="570"/>
      <c r="Q37" s="21"/>
      <c r="R37" s="11"/>
      <c r="S37" s="11"/>
      <c r="T37" s="11"/>
    </row>
    <row r="38" spans="1:20" s="9" customFormat="1" x14ac:dyDescent="0.2">
      <c r="A38" s="61"/>
      <c r="B38" s="61"/>
      <c r="C38" s="54"/>
      <c r="D38" s="46"/>
      <c r="E38" s="62"/>
      <c r="F38" s="37"/>
      <c r="G38" s="37"/>
      <c r="H38" s="37"/>
      <c r="I38" s="37"/>
      <c r="J38" s="37"/>
      <c r="K38" s="37"/>
      <c r="L38" s="37"/>
      <c r="M38" s="37"/>
      <c r="N38" s="32"/>
      <c r="O38" s="37"/>
      <c r="P38" s="48"/>
      <c r="Q38" s="36"/>
    </row>
    <row r="39" spans="1:20" s="9" customFormat="1" x14ac:dyDescent="0.2">
      <c r="A39" s="324" t="str">
        <f>+'1-10'!C87</f>
        <v>NISSAN  UD 80  HONEY SUCKER [093]</v>
      </c>
      <c r="B39" s="61" t="str">
        <f>+'1-10'!R87</f>
        <v>CNK 292 L</v>
      </c>
      <c r="C39" s="54">
        <v>686</v>
      </c>
      <c r="D39" s="46">
        <v>25000</v>
      </c>
      <c r="E39" s="62">
        <f>+D39/P39*(CALC!$A$4)</f>
        <v>266666.66666666669</v>
      </c>
      <c r="F39" s="37">
        <v>3000</v>
      </c>
      <c r="G39" s="32">
        <f>6057.27*(1+CALC!$A$2)</f>
        <v>4391.5207500000006</v>
      </c>
      <c r="H39" s="32">
        <f>95000</f>
        <v>95000</v>
      </c>
      <c r="I39" s="37">
        <v>51520.06</v>
      </c>
      <c r="J39" s="37"/>
      <c r="K39" s="37">
        <v>17160</v>
      </c>
      <c r="L39" s="37"/>
      <c r="M39" s="37">
        <f>SUM(E39:L39)</f>
        <v>437738.24741666671</v>
      </c>
      <c r="N39" s="37">
        <f>M39/CALC!$A$8*CALC!$A$6</f>
        <v>16657.971176064886</v>
      </c>
      <c r="O39" s="37">
        <f>+M39+N39</f>
        <v>454396.21859273157</v>
      </c>
      <c r="P39" s="48">
        <v>1.5</v>
      </c>
      <c r="Q39" s="154"/>
    </row>
    <row r="40" spans="1:20" s="18" customFormat="1" x14ac:dyDescent="0.2">
      <c r="A40" s="35"/>
      <c r="B40" s="4" t="s">
        <v>14</v>
      </c>
      <c r="C40" s="26"/>
      <c r="D40" s="16">
        <f t="shared" ref="D40:K40" si="6">SUM(D38:D39)</f>
        <v>25000</v>
      </c>
      <c r="E40" s="14">
        <f t="shared" si="6"/>
        <v>266666.66666666669</v>
      </c>
      <c r="F40" s="14">
        <f t="shared" si="6"/>
        <v>3000</v>
      </c>
      <c r="G40" s="14">
        <f t="shared" si="6"/>
        <v>4391.5207500000006</v>
      </c>
      <c r="H40" s="14">
        <f t="shared" si="6"/>
        <v>95000</v>
      </c>
      <c r="I40" s="14">
        <f t="shared" si="6"/>
        <v>51520.06</v>
      </c>
      <c r="J40" s="14">
        <f t="shared" si="6"/>
        <v>0</v>
      </c>
      <c r="K40" s="14">
        <f t="shared" si="6"/>
        <v>17160</v>
      </c>
      <c r="L40" s="14">
        <f>SUM(L39)</f>
        <v>0</v>
      </c>
      <c r="M40" s="14">
        <f>SUM(M38:M39)</f>
        <v>437738.24741666671</v>
      </c>
      <c r="N40" s="14">
        <f>M40/CALC!$A$8*CALC!$A$6</f>
        <v>16657.971176064886</v>
      </c>
      <c r="O40" s="14">
        <f>+M40+N40</f>
        <v>454396.21859273157</v>
      </c>
      <c r="P40" s="33"/>
      <c r="Q40" s="135">
        <f>(+O40/D40)*(1+CALC!$A$3)</f>
        <v>18.175848743709263</v>
      </c>
      <c r="R40" s="35"/>
      <c r="S40" s="35"/>
      <c r="T40" s="35"/>
    </row>
    <row r="41" spans="1:20" ht="12" thickBot="1" x14ac:dyDescent="0.25">
      <c r="Q41" s="21"/>
      <c r="R41" s="11"/>
      <c r="S41" s="11"/>
      <c r="T41" s="11"/>
    </row>
    <row r="42" spans="1:20" ht="12" thickBot="1" x14ac:dyDescent="0.25">
      <c r="A42" s="330" t="s">
        <v>10</v>
      </c>
      <c r="B42" s="331" t="s">
        <v>503</v>
      </c>
      <c r="D42" s="568" t="s">
        <v>679</v>
      </c>
      <c r="E42" s="569"/>
      <c r="F42" s="570"/>
      <c r="Q42" s="21"/>
      <c r="R42" s="11"/>
      <c r="S42" s="11"/>
      <c r="T42" s="11"/>
    </row>
    <row r="43" spans="1:20" s="9" customFormat="1" x14ac:dyDescent="0.2">
      <c r="A43" s="61"/>
      <c r="B43" s="61"/>
      <c r="C43" s="54"/>
      <c r="D43" s="46"/>
      <c r="E43" s="62"/>
      <c r="F43" s="37"/>
      <c r="G43" s="37"/>
      <c r="H43" s="37"/>
      <c r="I43" s="37"/>
      <c r="J43" s="37"/>
      <c r="K43" s="37"/>
      <c r="L43" s="37"/>
      <c r="M43" s="37"/>
      <c r="N43" s="32"/>
      <c r="O43" s="37"/>
      <c r="P43" s="48"/>
      <c r="Q43" s="36"/>
    </row>
    <row r="44" spans="1:20" s="10" customFormat="1" x14ac:dyDescent="0.2">
      <c r="A44" s="321" t="str">
        <f>+'1-10'!C88</f>
        <v>NISSAN  UD 80 WATER TANKER [073]</v>
      </c>
      <c r="B44" s="3" t="str">
        <f>+'1-10'!R88</f>
        <v>CNV 357 L</v>
      </c>
      <c r="C44" s="136">
        <v>687</v>
      </c>
      <c r="D44" s="137">
        <v>35000</v>
      </c>
      <c r="E44" s="138">
        <f>+D44/P44*(CALC!$A$4)</f>
        <v>373333.33333333331</v>
      </c>
      <c r="F44" s="32">
        <v>3000</v>
      </c>
      <c r="G44" s="32">
        <f>6057.27*(1+CALC!$A$2)</f>
        <v>4391.5207500000006</v>
      </c>
      <c r="H44" s="32">
        <f>95000</f>
        <v>95000</v>
      </c>
      <c r="I44" s="32">
        <v>47817.19</v>
      </c>
      <c r="J44" s="32"/>
      <c r="K44" s="32">
        <v>17160</v>
      </c>
      <c r="L44" s="37"/>
      <c r="M44" s="32">
        <f>SUM(E44:L44)</f>
        <v>540702.04408333334</v>
      </c>
      <c r="N44" s="32">
        <f>M44/CALC!$A$8*CALC!$A$6</f>
        <v>20576.221333947331</v>
      </c>
      <c r="O44" s="32">
        <f>+M44+N44</f>
        <v>561278.26541728072</v>
      </c>
      <c r="P44" s="50">
        <v>1.5</v>
      </c>
      <c r="Q44" s="51"/>
    </row>
    <row r="45" spans="1:20" s="18" customFormat="1" x14ac:dyDescent="0.2">
      <c r="A45" s="35"/>
      <c r="B45" s="4" t="s">
        <v>14</v>
      </c>
      <c r="C45" s="26"/>
      <c r="D45" s="16">
        <f t="shared" ref="D45:K45" si="7">SUM(D43:D44)</f>
        <v>35000</v>
      </c>
      <c r="E45" s="14">
        <f t="shared" si="7"/>
        <v>373333.33333333331</v>
      </c>
      <c r="F45" s="14">
        <f t="shared" si="7"/>
        <v>3000</v>
      </c>
      <c r="G45" s="14">
        <f t="shared" si="7"/>
        <v>4391.5207500000006</v>
      </c>
      <c r="H45" s="14">
        <f t="shared" si="7"/>
        <v>95000</v>
      </c>
      <c r="I45" s="14">
        <f t="shared" si="7"/>
        <v>47817.19</v>
      </c>
      <c r="J45" s="14">
        <f t="shared" si="7"/>
        <v>0</v>
      </c>
      <c r="K45" s="14">
        <f t="shared" si="7"/>
        <v>17160</v>
      </c>
      <c r="L45" s="14">
        <f>SUM(L44)</f>
        <v>0</v>
      </c>
      <c r="M45" s="14">
        <f>SUM(M43:M44)</f>
        <v>540702.04408333334</v>
      </c>
      <c r="N45" s="14">
        <f>M45/CALC!$A$8*CALC!$A$6</f>
        <v>20576.221333947331</v>
      </c>
      <c r="O45" s="14">
        <f>+M45+N45</f>
        <v>561278.26541728072</v>
      </c>
      <c r="P45" s="33"/>
      <c r="Q45" s="135">
        <f>(+O45/D45)*(1+CALC!$A$3)</f>
        <v>16.036521869065165</v>
      </c>
      <c r="R45" s="35"/>
      <c r="S45" s="35"/>
      <c r="T45" s="35"/>
    </row>
    <row r="46" spans="1:20" x14ac:dyDescent="0.2">
      <c r="Q46" s="21"/>
      <c r="R46" s="11"/>
      <c r="S46" s="11"/>
      <c r="T46" s="11"/>
    </row>
    <row r="47" spans="1:20" ht="12" thickBot="1" x14ac:dyDescent="0.25">
      <c r="Q47" s="21"/>
      <c r="R47" s="11"/>
      <c r="S47" s="11"/>
      <c r="T47" s="11"/>
    </row>
    <row r="48" spans="1:20" ht="12" thickBot="1" x14ac:dyDescent="0.25">
      <c r="A48" s="330" t="s">
        <v>10</v>
      </c>
      <c r="B48" s="331" t="s">
        <v>154</v>
      </c>
      <c r="D48" s="568" t="s">
        <v>158</v>
      </c>
      <c r="E48" s="569"/>
      <c r="F48" s="570"/>
      <c r="Q48" s="21"/>
      <c r="R48" s="11"/>
      <c r="S48" s="11"/>
      <c r="T48" s="11"/>
    </row>
    <row r="49" spans="1:20" x14ac:dyDescent="0.2">
      <c r="Q49" s="21"/>
      <c r="R49" s="11"/>
      <c r="S49" s="11"/>
      <c r="T49" s="11"/>
    </row>
    <row r="50" spans="1:20" s="549" customFormat="1" x14ac:dyDescent="0.2">
      <c r="A50" s="542" t="s">
        <v>25</v>
      </c>
      <c r="B50" s="542" t="s">
        <v>99</v>
      </c>
      <c r="C50" s="384">
        <v>117</v>
      </c>
      <c r="D50" s="543">
        <v>300</v>
      </c>
      <c r="E50" s="550">
        <f>+D50/P50*(CALC!$A$4)</f>
        <v>17777.777777777777</v>
      </c>
      <c r="F50" s="545">
        <v>3000</v>
      </c>
      <c r="G50" s="546">
        <f>6057.27*(1+CALC!$A$2)</f>
        <v>4391.5207500000006</v>
      </c>
      <c r="H50" s="546">
        <f>40000*(1+CALC!$A$2)</f>
        <v>29000</v>
      </c>
      <c r="I50" s="545"/>
      <c r="J50" s="545"/>
      <c r="K50" s="545">
        <v>240</v>
      </c>
      <c r="L50" s="545"/>
      <c r="M50" s="545">
        <f>SUM(E50:L50)</f>
        <v>54409.298527777777</v>
      </c>
      <c r="N50" s="546">
        <f>M50/CALC!$A$8*CALC!$A$6</f>
        <v>2070.5262378475977</v>
      </c>
      <c r="O50" s="545">
        <f>+M50+N50</f>
        <v>56479.824765625373</v>
      </c>
      <c r="P50" s="547">
        <v>0.27</v>
      </c>
      <c r="Q50" s="564"/>
      <c r="R50" s="563"/>
      <c r="S50" s="563"/>
      <c r="T50" s="563"/>
    </row>
    <row r="51" spans="1:20" x14ac:dyDescent="0.2">
      <c r="A51" s="12"/>
      <c r="B51" s="12"/>
      <c r="C51" s="19"/>
      <c r="D51" s="8"/>
      <c r="E51" s="30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31"/>
      <c r="Q51" s="21"/>
      <c r="R51" s="11"/>
      <c r="S51" s="11"/>
      <c r="T51" s="11"/>
    </row>
    <row r="52" spans="1:20" s="18" customFormat="1" x14ac:dyDescent="0.2">
      <c r="A52" s="35"/>
      <c r="B52" s="4" t="s">
        <v>14</v>
      </c>
      <c r="C52" s="26"/>
      <c r="D52" s="16">
        <f t="shared" ref="D52:M52" si="8">SUM(D50:D51)</f>
        <v>300</v>
      </c>
      <c r="E52" s="14">
        <f t="shared" si="8"/>
        <v>17777.777777777777</v>
      </c>
      <c r="F52" s="14">
        <f t="shared" si="8"/>
        <v>3000</v>
      </c>
      <c r="G52" s="14">
        <f t="shared" si="8"/>
        <v>4391.5207500000006</v>
      </c>
      <c r="H52" s="14">
        <f t="shared" si="8"/>
        <v>29000</v>
      </c>
      <c r="I52" s="14">
        <f t="shared" si="8"/>
        <v>0</v>
      </c>
      <c r="J52" s="14">
        <f t="shared" si="8"/>
        <v>0</v>
      </c>
      <c r="K52" s="14">
        <f t="shared" si="8"/>
        <v>240</v>
      </c>
      <c r="L52" s="14"/>
      <c r="M52" s="14">
        <f t="shared" si="8"/>
        <v>54409.298527777777</v>
      </c>
      <c r="N52" s="14">
        <f>M52/CALC!$A$8*CALC!$A$6</f>
        <v>2070.5262378475977</v>
      </c>
      <c r="O52" s="14">
        <f>+M52+N52</f>
        <v>56479.824765625373</v>
      </c>
      <c r="P52" s="33"/>
      <c r="Q52" s="135">
        <f>(+O52/D52)*(1+CALC!$A$3)</f>
        <v>188.26608255208458</v>
      </c>
      <c r="R52" s="35"/>
      <c r="S52" s="35"/>
      <c r="T52" s="35"/>
    </row>
    <row r="53" spans="1:20" ht="12" thickBot="1" x14ac:dyDescent="0.25">
      <c r="Q53" s="21"/>
      <c r="R53" s="11"/>
      <c r="S53" s="11"/>
      <c r="T53" s="11"/>
    </row>
    <row r="54" spans="1:20" ht="12" thickBot="1" x14ac:dyDescent="0.25">
      <c r="A54" s="330" t="s">
        <v>10</v>
      </c>
      <c r="B54" s="331" t="s">
        <v>155</v>
      </c>
      <c r="D54" s="568" t="s">
        <v>159</v>
      </c>
      <c r="E54" s="569"/>
      <c r="F54" s="570"/>
      <c r="Q54" s="21"/>
      <c r="R54" s="11"/>
      <c r="S54" s="11"/>
      <c r="T54" s="11"/>
    </row>
    <row r="55" spans="1:20" x14ac:dyDescent="0.2">
      <c r="Q55" s="21"/>
      <c r="R55" s="11"/>
      <c r="S55" s="11"/>
      <c r="T55" s="11"/>
    </row>
    <row r="56" spans="1:20" s="549" customFormat="1" x14ac:dyDescent="0.2">
      <c r="A56" s="542" t="s">
        <v>87</v>
      </c>
      <c r="B56" s="542" t="s">
        <v>126</v>
      </c>
      <c r="C56" s="384">
        <v>103</v>
      </c>
      <c r="D56" s="543">
        <v>300</v>
      </c>
      <c r="E56" s="550">
        <f>+D56/P56*(CALC!$A$4)</f>
        <v>6153.8461538461534</v>
      </c>
      <c r="F56" s="545">
        <v>3000</v>
      </c>
      <c r="G56" s="545">
        <f>710*(1+CALC!$A$2)</f>
        <v>514.75</v>
      </c>
      <c r="H56" s="545">
        <f>5000*(1+CALC!$A$2)</f>
        <v>3625</v>
      </c>
      <c r="I56" s="545"/>
      <c r="J56" s="545"/>
      <c r="K56" s="545">
        <v>240</v>
      </c>
      <c r="L56" s="545"/>
      <c r="M56" s="545">
        <f>SUM(E56:L56)</f>
        <v>13533.596153846152</v>
      </c>
      <c r="N56" s="546">
        <f>M56/CALC!$A$8*CALC!$A$6</f>
        <v>515.01612200836928</v>
      </c>
      <c r="O56" s="545">
        <f>+M56+N56</f>
        <v>14048.612275854523</v>
      </c>
      <c r="P56" s="547">
        <v>0.78</v>
      </c>
      <c r="Q56" s="564"/>
    </row>
    <row r="57" spans="1:20" x14ac:dyDescent="0.2">
      <c r="A57" s="12"/>
      <c r="B57" s="61"/>
      <c r="C57" s="19"/>
      <c r="D57" s="8"/>
      <c r="E57" s="30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31"/>
      <c r="Q57" s="21"/>
      <c r="R57" s="11"/>
      <c r="S57" s="11"/>
      <c r="T57" s="11"/>
    </row>
    <row r="58" spans="1:20" s="18" customFormat="1" x14ac:dyDescent="0.2">
      <c r="A58" s="35"/>
      <c r="B58" s="4" t="s">
        <v>14</v>
      </c>
      <c r="C58" s="26"/>
      <c r="D58" s="16">
        <f t="shared" ref="D58:M58" si="9">SUM(D56:D57)</f>
        <v>300</v>
      </c>
      <c r="E58" s="14">
        <f t="shared" si="9"/>
        <v>6153.8461538461534</v>
      </c>
      <c r="F58" s="14">
        <f t="shared" si="9"/>
        <v>3000</v>
      </c>
      <c r="G58" s="14">
        <f t="shared" si="9"/>
        <v>514.75</v>
      </c>
      <c r="H58" s="14">
        <f t="shared" si="9"/>
        <v>3625</v>
      </c>
      <c r="I58" s="14">
        <f t="shared" si="9"/>
        <v>0</v>
      </c>
      <c r="J58" s="14">
        <f t="shared" si="9"/>
        <v>0</v>
      </c>
      <c r="K58" s="14">
        <f t="shared" si="9"/>
        <v>240</v>
      </c>
      <c r="L58" s="14"/>
      <c r="M58" s="14">
        <f t="shared" si="9"/>
        <v>13533.596153846152</v>
      </c>
      <c r="N58" s="14">
        <f>M58/CALC!$A$8*CALC!$A$6</f>
        <v>515.01612200836928</v>
      </c>
      <c r="O58" s="14">
        <f>+M58+N58</f>
        <v>14048.612275854523</v>
      </c>
      <c r="P58" s="33"/>
      <c r="Q58" s="135">
        <f>(+O58/D58)*(1+CALC!$A$3)</f>
        <v>46.828707586181743</v>
      </c>
      <c r="R58" s="35"/>
      <c r="S58" s="35"/>
      <c r="T58" s="35"/>
    </row>
    <row r="59" spans="1:20" ht="12" thickBot="1" x14ac:dyDescent="0.25">
      <c r="Q59" s="21"/>
      <c r="R59" s="11"/>
      <c r="S59" s="11"/>
      <c r="T59" s="11"/>
    </row>
    <row r="60" spans="1:20" ht="12" thickBot="1" x14ac:dyDescent="0.25">
      <c r="A60" s="330" t="s">
        <v>10</v>
      </c>
      <c r="B60" s="331" t="s">
        <v>156</v>
      </c>
      <c r="D60" s="568" t="s">
        <v>42</v>
      </c>
      <c r="E60" s="569"/>
      <c r="F60" s="570"/>
      <c r="Q60" s="21"/>
      <c r="R60" s="11"/>
      <c r="S60" s="11"/>
      <c r="T60" s="11"/>
    </row>
    <row r="61" spans="1:20" x14ac:dyDescent="0.2">
      <c r="Q61" s="21"/>
      <c r="R61" s="11"/>
      <c r="S61" s="11"/>
      <c r="T61" s="11"/>
    </row>
    <row r="62" spans="1:20" s="549" customFormat="1" x14ac:dyDescent="0.2">
      <c r="A62" s="542" t="s">
        <v>127</v>
      </c>
      <c r="B62" s="565" t="s">
        <v>128</v>
      </c>
      <c r="C62" s="384">
        <v>328</v>
      </c>
      <c r="D62" s="543">
        <v>25000</v>
      </c>
      <c r="E62" s="550">
        <f>+D62/P62*(CALC!$A$4)</f>
        <v>400000</v>
      </c>
      <c r="F62" s="545">
        <v>3000</v>
      </c>
      <c r="G62" s="545">
        <f>8600*(1+CALC!$A$2)</f>
        <v>6235</v>
      </c>
      <c r="H62" s="545">
        <f>40000*(1+CALC!$A$2)</f>
        <v>29000</v>
      </c>
      <c r="I62" s="545"/>
      <c r="J62" s="545"/>
      <c r="K62" s="545">
        <v>10200</v>
      </c>
      <c r="L62" s="545"/>
      <c r="M62" s="545">
        <f>SUM(E62:L62)</f>
        <v>448435</v>
      </c>
      <c r="N62" s="546">
        <f>M62/CALC!$A$8*CALC!$A$6</f>
        <v>17065.032238839813</v>
      </c>
      <c r="O62" s="545">
        <f>+M62+N62</f>
        <v>465500.03223883983</v>
      </c>
      <c r="P62" s="547">
        <v>1</v>
      </c>
      <c r="Q62" s="564"/>
      <c r="R62" s="563"/>
      <c r="S62" s="563"/>
      <c r="T62" s="563"/>
    </row>
    <row r="63" spans="1:20" x14ac:dyDescent="0.2">
      <c r="A63" s="47"/>
      <c r="B63" s="61"/>
      <c r="C63" s="19"/>
      <c r="D63" s="8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31"/>
      <c r="Q63" s="21"/>
      <c r="R63" s="11"/>
      <c r="S63" s="11"/>
      <c r="T63" s="11"/>
    </row>
    <row r="64" spans="1:20" s="18" customFormat="1" x14ac:dyDescent="0.2">
      <c r="A64" s="35"/>
      <c r="B64" s="4" t="s">
        <v>14</v>
      </c>
      <c r="C64" s="26"/>
      <c r="D64" s="16">
        <f t="shared" ref="D64:M64" si="10">SUM(D62:D63)</f>
        <v>25000</v>
      </c>
      <c r="E64" s="14">
        <f t="shared" si="10"/>
        <v>400000</v>
      </c>
      <c r="F64" s="14">
        <f t="shared" si="10"/>
        <v>3000</v>
      </c>
      <c r="G64" s="14">
        <f t="shared" si="10"/>
        <v>6235</v>
      </c>
      <c r="H64" s="14">
        <f t="shared" si="10"/>
        <v>29000</v>
      </c>
      <c r="I64" s="14">
        <f t="shared" si="10"/>
        <v>0</v>
      </c>
      <c r="J64" s="14">
        <f t="shared" si="10"/>
        <v>0</v>
      </c>
      <c r="K64" s="14">
        <f t="shared" si="10"/>
        <v>10200</v>
      </c>
      <c r="L64" s="14"/>
      <c r="M64" s="14">
        <f t="shared" si="10"/>
        <v>448435</v>
      </c>
      <c r="N64" s="14">
        <f>M64/CALC!$A$8*CALC!$A$6</f>
        <v>17065.032238839813</v>
      </c>
      <c r="O64" s="14">
        <f>+M64+N64</f>
        <v>465500.03223883983</v>
      </c>
      <c r="P64" s="33"/>
      <c r="Q64" s="135">
        <f>(+O64/D64)*(1+CALC!$A$3)</f>
        <v>18.620001289553592</v>
      </c>
      <c r="R64" s="35"/>
      <c r="S64" s="35"/>
      <c r="T64" s="35"/>
    </row>
    <row r="65" spans="1:20" x14ac:dyDescent="0.2">
      <c r="Q65" s="21"/>
      <c r="R65" s="11"/>
      <c r="S65" s="11"/>
      <c r="T65" s="11"/>
    </row>
    <row r="66" spans="1:20" x14ac:dyDescent="0.2">
      <c r="Q66" s="21"/>
      <c r="R66" s="11"/>
      <c r="S66" s="11"/>
      <c r="T66" s="11"/>
    </row>
    <row r="67" spans="1:20" ht="12" hidden="1" thickBot="1" x14ac:dyDescent="0.25">
      <c r="A67" s="71" t="s">
        <v>10</v>
      </c>
      <c r="B67" s="72" t="s">
        <v>65</v>
      </c>
      <c r="D67" s="571" t="s">
        <v>43</v>
      </c>
      <c r="E67" s="572"/>
      <c r="F67" s="573"/>
      <c r="Q67" s="21"/>
      <c r="R67" s="11"/>
      <c r="S67" s="11"/>
      <c r="T67" s="11"/>
    </row>
    <row r="68" spans="1:20" hidden="1" x14ac:dyDescent="0.2">
      <c r="Q68" s="21"/>
      <c r="R68" s="11"/>
      <c r="S68" s="11"/>
      <c r="T68" s="11"/>
    </row>
    <row r="69" spans="1:20" hidden="1" x14ac:dyDescent="0.2">
      <c r="A69" s="12"/>
      <c r="B69" s="12"/>
      <c r="C69" s="19"/>
      <c r="D69" s="8"/>
      <c r="E69" s="30"/>
      <c r="F69" s="13"/>
      <c r="G69" s="13"/>
      <c r="H69" s="13"/>
      <c r="I69" s="13"/>
      <c r="J69" s="13"/>
      <c r="K69" s="13"/>
      <c r="L69" s="13"/>
      <c r="M69" s="13"/>
      <c r="N69" s="14"/>
      <c r="O69" s="13"/>
      <c r="P69" s="31">
        <v>5.59</v>
      </c>
      <c r="Q69" s="21"/>
      <c r="R69" s="11"/>
      <c r="S69" s="11"/>
      <c r="T69" s="11"/>
    </row>
    <row r="70" spans="1:20" hidden="1" x14ac:dyDescent="0.2">
      <c r="A70" s="12"/>
      <c r="B70" s="12"/>
      <c r="C70" s="19"/>
      <c r="D70" s="8"/>
      <c r="E70" s="30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31"/>
      <c r="Q70" s="21"/>
      <c r="R70" s="11"/>
      <c r="S70" s="11"/>
      <c r="T70" s="11"/>
    </row>
    <row r="71" spans="1:20" hidden="1" x14ac:dyDescent="0.2">
      <c r="A71" s="12"/>
      <c r="B71" s="12"/>
      <c r="C71" s="19"/>
      <c r="D71" s="8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31"/>
      <c r="Q71" s="21"/>
      <c r="R71" s="11"/>
      <c r="S71" s="11"/>
      <c r="T71" s="11"/>
    </row>
    <row r="72" spans="1:20" s="18" customFormat="1" hidden="1" x14ac:dyDescent="0.2">
      <c r="A72" s="35"/>
      <c r="B72" s="4"/>
      <c r="C72" s="26"/>
      <c r="D72" s="16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33"/>
      <c r="Q72" s="36"/>
      <c r="R72" s="35"/>
      <c r="S72" s="35"/>
      <c r="T72" s="35"/>
    </row>
    <row r="73" spans="1:20" hidden="1" x14ac:dyDescent="0.2">
      <c r="Q73" s="21"/>
      <c r="R73" s="11"/>
      <c r="S73" s="11"/>
      <c r="T73" s="11"/>
    </row>
    <row r="74" spans="1:20" s="18" customFormat="1" ht="12" thickBot="1" x14ac:dyDescent="0.25">
      <c r="A74" s="35"/>
      <c r="B74" s="35"/>
      <c r="C74" s="39"/>
      <c r="D74" s="40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36"/>
      <c r="R74" s="35"/>
      <c r="S74" s="35"/>
      <c r="T74" s="35"/>
    </row>
    <row r="75" spans="1:20" ht="12" thickBot="1" x14ac:dyDescent="0.25">
      <c r="A75" s="330" t="s">
        <v>10</v>
      </c>
      <c r="B75" s="331" t="s">
        <v>157</v>
      </c>
      <c r="D75" s="568" t="s">
        <v>160</v>
      </c>
      <c r="E75" s="569"/>
      <c r="F75" s="570"/>
      <c r="Q75" s="21"/>
      <c r="R75" s="11"/>
      <c r="S75" s="11"/>
      <c r="T75" s="11"/>
    </row>
    <row r="76" spans="1:20" x14ac:dyDescent="0.2">
      <c r="Q76" s="21"/>
      <c r="R76" s="11"/>
      <c r="S76" s="11"/>
      <c r="T76" s="11"/>
    </row>
    <row r="77" spans="1:20" s="549" customFormat="1" x14ac:dyDescent="0.2">
      <c r="A77" s="542" t="s">
        <v>680</v>
      </c>
      <c r="B77" s="542"/>
      <c r="C77" s="384">
        <v>417</v>
      </c>
      <c r="D77" s="543">
        <v>35000</v>
      </c>
      <c r="E77" s="550">
        <f>+D77/P77*(CALC!$A$4)</f>
        <v>166666.66666666669</v>
      </c>
      <c r="F77" s="545">
        <v>3000</v>
      </c>
      <c r="G77" s="545">
        <f>9900*(1+CALC!$A$2)</f>
        <v>7177.5</v>
      </c>
      <c r="H77" s="545">
        <f>55000*(1+CALC!$A$2)</f>
        <v>39875</v>
      </c>
      <c r="I77" s="545">
        <f>726389/8*0.75</f>
        <v>68098.96875</v>
      </c>
      <c r="J77" s="545"/>
      <c r="K77" s="545">
        <v>10200</v>
      </c>
      <c r="L77" s="545"/>
      <c r="M77" s="545">
        <f>SUM(E77:L77)</f>
        <v>295018.13541666669</v>
      </c>
      <c r="N77" s="546">
        <f>M77/CALC!$A$8*CALC!$A$6</f>
        <v>11226.80877257089</v>
      </c>
      <c r="O77" s="545">
        <f>+M77+N77</f>
        <v>306244.94418923755</v>
      </c>
      <c r="P77" s="547">
        <v>3.36</v>
      </c>
      <c r="Q77" s="548"/>
      <c r="R77" s="563"/>
      <c r="S77" s="563"/>
      <c r="T77" s="563"/>
    </row>
    <row r="78" spans="1:20" x14ac:dyDescent="0.2">
      <c r="A78" s="12"/>
      <c r="B78" s="12"/>
      <c r="C78" s="19"/>
      <c r="D78" s="8"/>
      <c r="E78" s="30"/>
      <c r="F78" s="13"/>
      <c r="G78" s="13"/>
      <c r="H78" s="13"/>
      <c r="I78" s="13"/>
      <c r="J78" s="13"/>
      <c r="K78" s="13"/>
      <c r="L78" s="13"/>
      <c r="M78" s="13">
        <f>SUM(E78:L78)</f>
        <v>0</v>
      </c>
      <c r="N78" s="13"/>
      <c r="O78" s="13">
        <f>+M78+N78</f>
        <v>0</v>
      </c>
      <c r="P78" s="31"/>
      <c r="Q78" s="21"/>
      <c r="R78" s="11"/>
      <c r="S78" s="11"/>
      <c r="T78" s="11"/>
    </row>
    <row r="79" spans="1:20" s="18" customFormat="1" x14ac:dyDescent="0.2">
      <c r="A79" s="35"/>
      <c r="B79" s="4" t="s">
        <v>14</v>
      </c>
      <c r="C79" s="26"/>
      <c r="D79" s="16">
        <f t="shared" ref="D79:M79" si="11">SUM(D77:D78)</f>
        <v>35000</v>
      </c>
      <c r="E79" s="14">
        <f t="shared" si="11"/>
        <v>166666.66666666669</v>
      </c>
      <c r="F79" s="14">
        <f t="shared" si="11"/>
        <v>3000</v>
      </c>
      <c r="G79" s="14">
        <f t="shared" si="11"/>
        <v>7177.5</v>
      </c>
      <c r="H79" s="14">
        <f t="shared" si="11"/>
        <v>39875</v>
      </c>
      <c r="I79" s="14">
        <f t="shared" si="11"/>
        <v>68098.96875</v>
      </c>
      <c r="J79" s="14">
        <f t="shared" si="11"/>
        <v>0</v>
      </c>
      <c r="K79" s="14">
        <f t="shared" si="11"/>
        <v>10200</v>
      </c>
      <c r="L79" s="14"/>
      <c r="M79" s="14">
        <f t="shared" si="11"/>
        <v>295018.13541666669</v>
      </c>
      <c r="N79" s="14">
        <f>M79/CALC!$A$8*CALC!$A$6</f>
        <v>11226.80877257089</v>
      </c>
      <c r="O79" s="14">
        <f>+M79+N79</f>
        <v>306244.94418923755</v>
      </c>
      <c r="P79" s="33"/>
      <c r="Q79" s="135">
        <f>(+O79/D79)*(1+CALC!$A$3)</f>
        <v>8.7498555482639304</v>
      </c>
      <c r="R79" s="35"/>
      <c r="S79" s="35"/>
      <c r="T79" s="35"/>
    </row>
    <row r="80" spans="1:20" s="18" customFormat="1" ht="12" thickBot="1" x14ac:dyDescent="0.25">
      <c r="A80" s="35"/>
      <c r="B80" s="35"/>
      <c r="C80" s="39"/>
      <c r="D80" s="40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36"/>
      <c r="R80" s="35"/>
      <c r="S80" s="35"/>
      <c r="T80" s="35"/>
    </row>
    <row r="81" spans="1:20" ht="12" thickBot="1" x14ac:dyDescent="0.25">
      <c r="A81" s="330" t="s">
        <v>10</v>
      </c>
      <c r="B81" s="331" t="s">
        <v>195</v>
      </c>
      <c r="D81" s="568" t="s">
        <v>161</v>
      </c>
      <c r="E81" s="569"/>
      <c r="F81" s="570"/>
      <c r="Q81" s="21"/>
      <c r="R81" s="11"/>
      <c r="S81" s="11"/>
      <c r="T81" s="11"/>
    </row>
    <row r="82" spans="1:20" x14ac:dyDescent="0.2">
      <c r="Q82" s="21"/>
      <c r="R82" s="11"/>
      <c r="S82" s="11"/>
      <c r="T82" s="11"/>
    </row>
    <row r="83" spans="1:20" s="549" customFormat="1" x14ac:dyDescent="0.2">
      <c r="A83" s="542" t="s">
        <v>680</v>
      </c>
      <c r="B83" s="542"/>
      <c r="C83" s="384">
        <v>419</v>
      </c>
      <c r="D83" s="543">
        <v>30000</v>
      </c>
      <c r="E83" s="550">
        <f>+D83/P83*(CALC!$A$4)</f>
        <v>480000</v>
      </c>
      <c r="F83" s="545">
        <v>3000</v>
      </c>
      <c r="G83" s="545">
        <f>9900*(1+CALC!$A$2)</f>
        <v>7177.5</v>
      </c>
      <c r="H83" s="545">
        <f>50000*(1+CALC!$A$2)</f>
        <v>36250</v>
      </c>
      <c r="I83" s="545">
        <f>902879/8*0.75</f>
        <v>84644.90625</v>
      </c>
      <c r="J83" s="545"/>
      <c r="K83" s="545">
        <v>10200</v>
      </c>
      <c r="L83" s="545"/>
      <c r="M83" s="545">
        <f>SUM(E83:L83)</f>
        <v>621272.40625</v>
      </c>
      <c r="N83" s="546">
        <f>M83/CALC!$A$8*CALC!$A$6</f>
        <v>23642.297416030946</v>
      </c>
      <c r="O83" s="545">
        <f>+M83+N83</f>
        <v>644914.70366603089</v>
      </c>
      <c r="P83" s="547">
        <v>1</v>
      </c>
      <c r="Q83" s="548"/>
      <c r="R83" s="563"/>
      <c r="S83" s="563"/>
      <c r="T83" s="563"/>
    </row>
    <row r="84" spans="1:20" x14ac:dyDescent="0.2">
      <c r="A84" s="12"/>
      <c r="B84" s="12"/>
      <c r="C84" s="19"/>
      <c r="D84" s="8"/>
      <c r="E84" s="13"/>
      <c r="F84" s="13"/>
      <c r="G84" s="13"/>
      <c r="H84" s="13"/>
      <c r="I84" s="13"/>
      <c r="J84" s="13"/>
      <c r="K84" s="13"/>
      <c r="L84" s="13"/>
      <c r="M84" s="13">
        <f>SUM(E84:L84)</f>
        <v>0</v>
      </c>
      <c r="N84" s="13"/>
      <c r="O84" s="13">
        <f>+M84+N84</f>
        <v>0</v>
      </c>
      <c r="P84" s="31"/>
      <c r="Q84" s="21"/>
      <c r="R84" s="11"/>
      <c r="S84" s="11"/>
      <c r="T84" s="11"/>
    </row>
    <row r="85" spans="1:20" s="18" customFormat="1" x14ac:dyDescent="0.2">
      <c r="A85" s="35"/>
      <c r="B85" s="4" t="s">
        <v>14</v>
      </c>
      <c r="C85" s="26"/>
      <c r="D85" s="16">
        <f t="shared" ref="D85:M85" si="12">SUM(D83:D84)</f>
        <v>30000</v>
      </c>
      <c r="E85" s="14">
        <f t="shared" si="12"/>
        <v>480000</v>
      </c>
      <c r="F85" s="14">
        <f t="shared" si="12"/>
        <v>3000</v>
      </c>
      <c r="G85" s="14">
        <f t="shared" si="12"/>
        <v>7177.5</v>
      </c>
      <c r="H85" s="14">
        <f t="shared" si="12"/>
        <v>36250</v>
      </c>
      <c r="I85" s="14">
        <f t="shared" si="12"/>
        <v>84644.90625</v>
      </c>
      <c r="J85" s="14">
        <f t="shared" si="12"/>
        <v>0</v>
      </c>
      <c r="K85" s="14">
        <f t="shared" si="12"/>
        <v>10200</v>
      </c>
      <c r="L85" s="14"/>
      <c r="M85" s="14">
        <f t="shared" si="12"/>
        <v>621272.40625</v>
      </c>
      <c r="N85" s="14">
        <f>M85/CALC!$A$8*CALC!$A$6</f>
        <v>23642.297416030946</v>
      </c>
      <c r="O85" s="14">
        <f>+M85+N85</f>
        <v>644914.70366603089</v>
      </c>
      <c r="P85" s="33"/>
      <c r="Q85" s="135">
        <f>(+O85/D85)*(1+CALC!$A$3)</f>
        <v>21.497156788867695</v>
      </c>
      <c r="R85" s="35"/>
      <c r="S85" s="35"/>
      <c r="T85" s="35"/>
    </row>
    <row r="86" spans="1:20" ht="12" thickBot="1" x14ac:dyDescent="0.25">
      <c r="Q86" s="21"/>
      <c r="R86" s="11"/>
      <c r="S86" s="11"/>
      <c r="T86" s="11"/>
    </row>
    <row r="87" spans="1:20" s="18" customFormat="1" ht="12" thickBot="1" x14ac:dyDescent="0.25">
      <c r="A87" s="42" t="s">
        <v>105</v>
      </c>
      <c r="B87" s="92" t="s">
        <v>14</v>
      </c>
      <c r="C87" s="93"/>
      <c r="D87" s="94">
        <f>+D88+D89+D90</f>
        <v>441600</v>
      </c>
      <c r="E87" s="95">
        <f>+E88+E89+E90</f>
        <v>2587947.1409256021</v>
      </c>
      <c r="F87" s="95">
        <f t="shared" ref="F87:O87" si="13">+F88+F89+F90</f>
        <v>66000</v>
      </c>
      <c r="G87" s="95">
        <f t="shared" si="13"/>
        <v>94730.203750000015</v>
      </c>
      <c r="H87" s="95">
        <f>+H88+H89+H90</f>
        <v>947750</v>
      </c>
      <c r="I87" s="95">
        <f t="shared" si="13"/>
        <v>550311.77499999991</v>
      </c>
      <c r="J87" s="95">
        <f t="shared" si="13"/>
        <v>0</v>
      </c>
      <c r="K87" s="95">
        <f t="shared" si="13"/>
        <v>98160</v>
      </c>
      <c r="L87" s="95">
        <f t="shared" si="13"/>
        <v>0</v>
      </c>
      <c r="M87" s="95">
        <f t="shared" si="13"/>
        <v>4344899.1196756028</v>
      </c>
      <c r="N87" s="95">
        <f t="shared" si="13"/>
        <v>165343.56941757642</v>
      </c>
      <c r="O87" s="95">
        <f t="shared" si="13"/>
        <v>4510242.6890931781</v>
      </c>
      <c r="P87" s="34"/>
      <c r="Q87" s="34"/>
      <c r="R87" s="35"/>
      <c r="S87" s="35"/>
      <c r="T87" s="35"/>
    </row>
    <row r="88" spans="1:20" s="18" customFormat="1" ht="12" thickBot="1" x14ac:dyDescent="0.25">
      <c r="A88" s="42" t="s">
        <v>129</v>
      </c>
      <c r="B88" s="73" t="s">
        <v>14</v>
      </c>
      <c r="C88" s="74"/>
      <c r="D88" s="75">
        <f>+D7+D8+D11+D14+D15+D16+D25+D30+D35+D45+D52+D64+D85</f>
        <v>293300</v>
      </c>
      <c r="E88" s="76">
        <f>+E7+E8+E11+E14+E15+E16+E25+E30+E35+E45+E52+E64+E85</f>
        <v>1937365.5086648094</v>
      </c>
      <c r="F88" s="76">
        <f t="shared" ref="F88:O88" si="14">+F7+F8+F11+F14+F15+F16+F25+F30+F35+F45+F52+F64+F85</f>
        <v>45000</v>
      </c>
      <c r="G88" s="76">
        <f t="shared" si="14"/>
        <v>66748.633000000016</v>
      </c>
      <c r="H88" s="76">
        <f t="shared" si="14"/>
        <v>669250</v>
      </c>
      <c r="I88" s="76">
        <f t="shared" si="14"/>
        <v>369117.38624999998</v>
      </c>
      <c r="J88" s="76">
        <f t="shared" si="14"/>
        <v>0</v>
      </c>
      <c r="K88" s="76">
        <f t="shared" si="14"/>
        <v>66720</v>
      </c>
      <c r="L88" s="76">
        <f t="shared" si="14"/>
        <v>0</v>
      </c>
      <c r="M88" s="76">
        <f t="shared" si="14"/>
        <v>3154201.5279148095</v>
      </c>
      <c r="N88" s="76">
        <f t="shared" si="14"/>
        <v>120032.00187689194</v>
      </c>
      <c r="O88" s="76">
        <f t="shared" si="14"/>
        <v>3274233.5297917011</v>
      </c>
      <c r="P88" s="150"/>
      <c r="Q88" s="43"/>
      <c r="R88" s="35"/>
      <c r="S88" s="35"/>
      <c r="T88" s="35"/>
    </row>
    <row r="89" spans="1:20" s="18" customFormat="1" ht="12" thickBot="1" x14ac:dyDescent="0.25">
      <c r="A89" s="42" t="s">
        <v>130</v>
      </c>
      <c r="B89" s="73" t="s">
        <v>14</v>
      </c>
      <c r="C89" s="74"/>
      <c r="D89" s="75">
        <f>+D9+D10</f>
        <v>60000</v>
      </c>
      <c r="E89" s="76">
        <f>+E9+E10</f>
        <v>143928.03598200899</v>
      </c>
      <c r="F89" s="76">
        <f t="shared" ref="F89:O89" si="15">+F9+F10</f>
        <v>6000</v>
      </c>
      <c r="G89" s="76">
        <f t="shared" si="15"/>
        <v>7948.9</v>
      </c>
      <c r="H89" s="76">
        <f t="shared" si="15"/>
        <v>70000</v>
      </c>
      <c r="I89" s="76">
        <f t="shared" si="15"/>
        <v>30787.68</v>
      </c>
      <c r="J89" s="76">
        <f t="shared" si="15"/>
        <v>0</v>
      </c>
      <c r="K89" s="76">
        <f t="shared" si="15"/>
        <v>1920</v>
      </c>
      <c r="L89" s="76">
        <f t="shared" si="15"/>
        <v>0</v>
      </c>
      <c r="M89" s="76">
        <f t="shared" si="15"/>
        <v>260584.61598200898</v>
      </c>
      <c r="N89" s="76">
        <f t="shared" si="15"/>
        <v>9916.4536057147088</v>
      </c>
      <c r="O89" s="76">
        <f t="shared" si="15"/>
        <v>270501.0695877237</v>
      </c>
      <c r="P89" s="43"/>
      <c r="Q89" s="43"/>
      <c r="R89" s="35"/>
      <c r="S89" s="35"/>
      <c r="T89" s="35"/>
    </row>
    <row r="90" spans="1:20" s="18" customFormat="1" ht="12" thickBot="1" x14ac:dyDescent="0.25">
      <c r="A90" s="42" t="s">
        <v>131</v>
      </c>
      <c r="B90" s="73" t="s">
        <v>14</v>
      </c>
      <c r="C90" s="74"/>
      <c r="D90" s="75">
        <f>+D12+D13+D39+D58+D77</f>
        <v>88300</v>
      </c>
      <c r="E90" s="76">
        <f>+E12+E13+E39+E58+E77</f>
        <v>506653.59627878369</v>
      </c>
      <c r="F90" s="76">
        <f t="shared" ref="F90:O90" si="16">+F12+F13+F39+F58+F77</f>
        <v>15000</v>
      </c>
      <c r="G90" s="76">
        <f t="shared" si="16"/>
        <v>20032.670750000001</v>
      </c>
      <c r="H90" s="76">
        <f t="shared" si="16"/>
        <v>208500</v>
      </c>
      <c r="I90" s="76">
        <f t="shared" si="16"/>
        <v>150406.70874999999</v>
      </c>
      <c r="J90" s="76">
        <f t="shared" si="16"/>
        <v>0</v>
      </c>
      <c r="K90" s="76">
        <f t="shared" si="16"/>
        <v>29520</v>
      </c>
      <c r="L90" s="76">
        <f t="shared" si="16"/>
        <v>0</v>
      </c>
      <c r="M90" s="76">
        <f t="shared" si="16"/>
        <v>930112.97577878367</v>
      </c>
      <c r="N90" s="76">
        <f t="shared" si="16"/>
        <v>35395.113934969791</v>
      </c>
      <c r="O90" s="76">
        <f t="shared" si="16"/>
        <v>965508.08971375355</v>
      </c>
      <c r="P90" s="43"/>
      <c r="Q90" s="43"/>
      <c r="R90" s="35"/>
      <c r="S90" s="35"/>
      <c r="T90" s="35"/>
    </row>
    <row r="91" spans="1:20" x14ac:dyDescent="0.2"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21"/>
      <c r="R91" s="11"/>
      <c r="S91" s="11"/>
      <c r="T91" s="11"/>
    </row>
    <row r="92" spans="1:20" x14ac:dyDescent="0.2">
      <c r="O92" s="28"/>
      <c r="Q92" s="21"/>
      <c r="R92" s="11"/>
      <c r="S92" s="11"/>
      <c r="T92" s="11"/>
    </row>
    <row r="93" spans="1:20" x14ac:dyDescent="0.2">
      <c r="D93" s="17">
        <f>+D18+D25+D30+D35+D40+D45+D52+D58+D64+D79+D85</f>
        <v>441600</v>
      </c>
      <c r="E93" s="17">
        <f t="shared" ref="E93:O93" si="17">+E18+E25+E30+E35+E40+E45+E52+E58+E64+E79+E85</f>
        <v>2587947.1409256021</v>
      </c>
      <c r="F93" s="17">
        <f t="shared" si="17"/>
        <v>66000</v>
      </c>
      <c r="G93" s="17">
        <f t="shared" si="17"/>
        <v>94730.203750000001</v>
      </c>
      <c r="H93" s="17">
        <f t="shared" si="17"/>
        <v>947750</v>
      </c>
      <c r="I93" s="17">
        <f t="shared" si="17"/>
        <v>550311.77499999991</v>
      </c>
      <c r="J93" s="17">
        <f t="shared" si="17"/>
        <v>0</v>
      </c>
      <c r="K93" s="17">
        <f t="shared" si="17"/>
        <v>98160</v>
      </c>
      <c r="L93" s="17">
        <f t="shared" si="17"/>
        <v>0</v>
      </c>
      <c r="M93" s="17">
        <f t="shared" si="17"/>
        <v>4344899.1196756018</v>
      </c>
      <c r="N93" s="17">
        <f t="shared" si="17"/>
        <v>165343.56941757645</v>
      </c>
      <c r="O93" s="17">
        <f t="shared" si="17"/>
        <v>4510242.6890931781</v>
      </c>
      <c r="Q93" s="21"/>
      <c r="R93" s="11"/>
      <c r="S93" s="11"/>
      <c r="T93" s="11"/>
    </row>
    <row r="94" spans="1:20" x14ac:dyDescent="0.2">
      <c r="I94" s="64">
        <f>-I79</f>
        <v>-68098.96875</v>
      </c>
      <c r="O94" s="28"/>
      <c r="Q94" s="21"/>
      <c r="R94" s="11"/>
      <c r="S94" s="11"/>
      <c r="T94" s="11"/>
    </row>
    <row r="95" spans="1:20" x14ac:dyDescent="0.2">
      <c r="I95" s="64">
        <f>-I85</f>
        <v>-84644.90625</v>
      </c>
      <c r="Q95" s="21"/>
      <c r="R95" s="11"/>
      <c r="S95" s="11"/>
      <c r="T95" s="11"/>
    </row>
    <row r="96" spans="1:20" x14ac:dyDescent="0.2">
      <c r="Q96" s="21"/>
      <c r="R96" s="11"/>
      <c r="S96" s="11"/>
      <c r="T96" s="11"/>
    </row>
    <row r="97" spans="9:20" x14ac:dyDescent="0.2">
      <c r="Q97" s="21"/>
      <c r="R97" s="11"/>
      <c r="S97" s="11"/>
      <c r="T97" s="11"/>
    </row>
    <row r="98" spans="9:20" x14ac:dyDescent="0.2">
      <c r="Q98" s="21"/>
      <c r="R98" s="11"/>
      <c r="S98" s="11"/>
      <c r="T98" s="11"/>
    </row>
    <row r="99" spans="9:20" x14ac:dyDescent="0.2">
      <c r="I99" s="15">
        <f>233684+35368+155280+1157728+2463975+965892</f>
        <v>5011927</v>
      </c>
      <c r="Q99" s="21"/>
      <c r="R99" s="11"/>
      <c r="S99" s="11"/>
      <c r="T99" s="11"/>
    </row>
    <row r="100" spans="9:20" x14ac:dyDescent="0.2">
      <c r="Q100" s="21"/>
      <c r="R100" s="11"/>
      <c r="S100" s="11"/>
      <c r="T100" s="11"/>
    </row>
    <row r="101" spans="9:20" x14ac:dyDescent="0.2">
      <c r="Q101" s="21"/>
      <c r="R101" s="11"/>
      <c r="S101" s="11"/>
      <c r="T101" s="11"/>
    </row>
    <row r="102" spans="9:20" x14ac:dyDescent="0.2">
      <c r="Q102" s="21"/>
      <c r="R102" s="11"/>
      <c r="S102" s="11"/>
      <c r="T102" s="11"/>
    </row>
    <row r="103" spans="9:20" x14ac:dyDescent="0.2">
      <c r="Q103" s="21"/>
      <c r="R103" s="11"/>
      <c r="S103" s="11"/>
      <c r="T103" s="11"/>
    </row>
    <row r="104" spans="9:20" x14ac:dyDescent="0.2">
      <c r="Q104" s="21"/>
      <c r="R104" s="11"/>
      <c r="S104" s="11"/>
      <c r="T104" s="11"/>
    </row>
    <row r="105" spans="9:20" x14ac:dyDescent="0.2">
      <c r="Q105" s="21"/>
      <c r="R105" s="11"/>
      <c r="S105" s="11"/>
      <c r="T105" s="11"/>
    </row>
    <row r="130" spans="6:6" x14ac:dyDescent="0.2">
      <c r="F130" s="2">
        <f>SUM(F121:F129)</f>
        <v>0</v>
      </c>
    </row>
  </sheetData>
  <customSheetViews>
    <customSheetView guid="{85BAD813-6002-444C-94EE-85A3EFC799A5}" showPageBreaks="1" printArea="1" hiddenRows="1" hiddenColumns="1" view="pageBreakPreview">
      <pane xSplit="3" ySplit="3" topLeftCell="D60" activePane="bottomRight" state="frozen"/>
      <selection pane="bottomRight" activeCell="A2" sqref="A2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1"/>
      <headerFooter alignWithMargins="0"/>
    </customSheetView>
    <customSheetView guid="{DF69299D-7752-4436-A45D-28F739CEE21B}" showPageBreaks="1" printArea="1" hiddenRows="1" hiddenColumns="1" view="pageBreakPreview">
      <pane xSplit="3" ySplit="3" topLeftCell="D60" activePane="bottomRight" state="frozen"/>
      <selection pane="bottomRight" activeCell="K60" sqref="K60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2"/>
      <headerFooter alignWithMargins="0"/>
    </customSheetView>
    <customSheetView guid="{6C0BD6A7-6718-429D-82D9-D2FE0341EA2C}" showPageBreaks="1" printArea="1" hiddenRows="1" hiddenColumns="1" view="pageBreakPreview">
      <pane xSplit="3" ySplit="3" topLeftCell="D63" activePane="bottomRight" state="frozen"/>
      <selection pane="bottomRight" activeCell="D84" sqref="D84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3"/>
      <headerFooter alignWithMargins="0"/>
    </customSheetView>
    <customSheetView guid="{594C4AB0-8D5F-4373-9663-410F4413FE3A}" showPageBreaks="1" printArea="1" hiddenRows="1" hiddenColumns="1" view="pageBreakPreview">
      <pane xSplit="3" ySplit="3" topLeftCell="D62" activePane="bottomRight" state="frozen"/>
      <selection pane="bottomRight" activeCell="F84" sqref="F84"/>
      <rowBreaks count="1" manualBreakCount="1">
        <brk id="59" max="16" man="1"/>
      </rowBreaks>
      <pageMargins left="0" right="0" top="0" bottom="0" header="0.31496062992125984" footer="0.31496062992125984"/>
      <pageSetup paperSize="8" scale="84" orientation="landscape" r:id="rId4"/>
      <headerFooter alignWithMargins="0"/>
    </customSheetView>
  </customSheetViews>
  <mergeCells count="12">
    <mergeCell ref="D48:F48"/>
    <mergeCell ref="D60:F60"/>
    <mergeCell ref="D67:F67"/>
    <mergeCell ref="D81:F81"/>
    <mergeCell ref="D5:F5"/>
    <mergeCell ref="D27:F27"/>
    <mergeCell ref="D54:F54"/>
    <mergeCell ref="D75:F75"/>
    <mergeCell ref="D20:F20"/>
    <mergeCell ref="D32:F32"/>
    <mergeCell ref="D37:F37"/>
    <mergeCell ref="D42:F42"/>
  </mergeCells>
  <phoneticPr fontId="0" type="noConversion"/>
  <pageMargins left="0" right="0" top="0" bottom="0" header="0.31496062992125984" footer="0.31496062992125984"/>
  <pageSetup paperSize="8" scale="84" orientation="landscape" r:id="rId5"/>
  <headerFooter alignWithMargins="0"/>
  <rowBreaks count="1" manualBreakCount="1">
    <brk id="59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AU80"/>
  <sheetViews>
    <sheetView tabSelected="1" zoomScaleSheetLayoutView="100" workbookViewId="0">
      <selection activeCell="A2" sqref="A2"/>
    </sheetView>
  </sheetViews>
  <sheetFormatPr defaultColWidth="9.140625" defaultRowHeight="15.75" x14ac:dyDescent="0.25"/>
  <cols>
    <col min="1" max="1" width="30.85546875" style="415" bestFit="1" customWidth="1"/>
    <col min="2" max="2" width="20.85546875" style="413" bestFit="1" customWidth="1"/>
    <col min="3" max="3" width="16.140625" style="482" hidden="1" customWidth="1"/>
    <col min="4" max="5" width="15.140625" style="482" hidden="1" customWidth="1"/>
    <col min="6" max="8" width="13.140625" style="482" hidden="1" customWidth="1"/>
    <col min="9" max="11" width="15.140625" style="482" hidden="1" customWidth="1"/>
    <col min="12" max="12" width="13.140625" style="482" hidden="1" customWidth="1"/>
    <col min="13" max="13" width="15.140625" style="482" hidden="1" customWidth="1"/>
    <col min="14" max="14" width="13.140625" style="482" hidden="1" customWidth="1"/>
    <col min="15" max="15" width="12" style="482" hidden="1" customWidth="1"/>
    <col min="16" max="16" width="10.42578125" style="482" hidden="1" customWidth="1"/>
    <col min="17" max="17" width="11.28515625" style="483" hidden="1" customWidth="1"/>
    <col min="18" max="19" width="9.140625" style="483" hidden="1" customWidth="1"/>
    <col min="20" max="20" width="20.85546875" style="414" bestFit="1" customWidth="1"/>
    <col min="21" max="21" width="9.140625" style="414" customWidth="1"/>
    <col min="22" max="22" width="20.85546875" style="413" bestFit="1" customWidth="1"/>
    <col min="23" max="23" width="9.140625" style="413"/>
    <col min="24" max="24" width="15.5703125" style="413" bestFit="1" customWidth="1"/>
    <col min="25" max="28" width="20.85546875" style="413" bestFit="1" customWidth="1"/>
    <col min="29" max="16384" width="9.140625" style="413"/>
  </cols>
  <sheetData>
    <row r="1" spans="1:21" x14ac:dyDescent="0.25">
      <c r="A1" s="412" t="s">
        <v>1510</v>
      </c>
      <c r="C1" s="481"/>
    </row>
    <row r="2" spans="1:21" ht="16.5" thickBot="1" x14ac:dyDescent="0.3">
      <c r="G2" s="483"/>
    </row>
    <row r="3" spans="1:21" hidden="1" x14ac:dyDescent="0.25">
      <c r="A3" s="416"/>
      <c r="B3" s="416"/>
      <c r="C3" s="484" t="str">
        <f>+mayor!B6</f>
        <v>V0152</v>
      </c>
      <c r="D3" s="484" t="str">
        <f>+mayor!B13</f>
        <v>V0153</v>
      </c>
      <c r="E3" s="484" t="str">
        <f>+mayor!B20</f>
        <v>V0154</v>
      </c>
      <c r="F3" s="484" t="str">
        <f>+mayor!B26</f>
        <v>V0103</v>
      </c>
      <c r="G3" s="485" t="s">
        <v>1498</v>
      </c>
    </row>
    <row r="4" spans="1:21" ht="14.25" hidden="1" customHeight="1" x14ac:dyDescent="0.25">
      <c r="A4" s="418"/>
      <c r="B4" s="419"/>
      <c r="C4" s="486">
        <f>+mayor!Q11</f>
        <v>5.654706939511037</v>
      </c>
      <c r="D4" s="486">
        <f>+mayor!Q18</f>
        <v>11.028663088435108</v>
      </c>
      <c r="E4" s="486">
        <f>+mayor!Q24</f>
        <v>3.603028510906094</v>
      </c>
      <c r="F4" s="486">
        <f>+mayor!Q30</f>
        <v>12.037791860994615</v>
      </c>
      <c r="G4" s="487">
        <f>+mayor!Q36</f>
        <v>5.7770648354208252</v>
      </c>
    </row>
    <row r="5" spans="1:21" s="424" customFormat="1" hidden="1" x14ac:dyDescent="0.25">
      <c r="A5" s="420"/>
      <c r="B5" s="421">
        <f>+C5+D5+E5+F5+G5</f>
        <v>167832</v>
      </c>
      <c r="C5" s="488">
        <f>+C7+C9</f>
        <v>43876</v>
      </c>
      <c r="D5" s="488">
        <f>+D7+D9</f>
        <v>22000</v>
      </c>
      <c r="E5" s="488">
        <f t="shared" ref="E5:G6" si="0">+E11</f>
        <v>32576</v>
      </c>
      <c r="F5" s="488">
        <f t="shared" si="0"/>
        <v>31380</v>
      </c>
      <c r="G5" s="489">
        <f t="shared" si="0"/>
        <v>38000</v>
      </c>
      <c r="H5" s="490"/>
      <c r="I5" s="534">
        <f>+B5+B16+B21+B23+B28+B34+B45+B54+B59+B64</f>
        <v>2522002</v>
      </c>
      <c r="J5" s="491"/>
      <c r="K5" s="491"/>
      <c r="L5" s="491"/>
      <c r="M5" s="491"/>
      <c r="N5" s="491"/>
      <c r="O5" s="491"/>
      <c r="P5" s="491"/>
      <c r="Q5" s="490"/>
      <c r="R5" s="490"/>
      <c r="S5" s="490"/>
      <c r="T5" s="423"/>
      <c r="U5" s="423"/>
    </row>
    <row r="6" spans="1:21" hidden="1" x14ac:dyDescent="0.25">
      <c r="A6" s="425"/>
      <c r="B6" s="426">
        <f>+C6+D6+E6+F6+G6</f>
        <v>1205383.138738838</v>
      </c>
      <c r="C6" s="492">
        <f>+C8+C10</f>
        <v>248105.92167798625</v>
      </c>
      <c r="D6" s="492">
        <f>+D8+D10</f>
        <v>242630.58794557239</v>
      </c>
      <c r="E6" s="492">
        <f t="shared" si="0"/>
        <v>117372.25677127692</v>
      </c>
      <c r="F6" s="492">
        <f t="shared" si="0"/>
        <v>377745.90859801101</v>
      </c>
      <c r="G6" s="493">
        <f t="shared" si="0"/>
        <v>219528.46374599135</v>
      </c>
      <c r="H6" s="493"/>
    </row>
    <row r="7" spans="1:21" s="428" customFormat="1" ht="16.5" hidden="1" thickBot="1" x14ac:dyDescent="0.3">
      <c r="A7" s="446"/>
      <c r="B7" s="447">
        <f t="shared" ref="B7:B10" si="1">+C7+D7+E7+F7</f>
        <v>32592</v>
      </c>
      <c r="C7" s="494">
        <f>+mayor!D8</f>
        <v>20592</v>
      </c>
      <c r="D7" s="494">
        <f>+mayor!D16</f>
        <v>12000</v>
      </c>
      <c r="E7" s="494"/>
      <c r="F7" s="494"/>
      <c r="G7" s="489"/>
      <c r="H7" s="495"/>
      <c r="I7" s="495"/>
      <c r="J7" s="495"/>
      <c r="K7" s="495"/>
      <c r="L7" s="495"/>
      <c r="M7" s="495"/>
      <c r="N7" s="495"/>
      <c r="O7" s="495"/>
      <c r="P7" s="495"/>
      <c r="Q7" s="483"/>
      <c r="R7" s="483"/>
      <c r="S7" s="483"/>
      <c r="T7" s="414"/>
      <c r="U7" s="414"/>
    </row>
    <row r="8" spans="1:21" s="428" customFormat="1" x14ac:dyDescent="0.25">
      <c r="A8" s="448" t="s">
        <v>113</v>
      </c>
      <c r="B8" s="449">
        <f t="shared" si="1"/>
        <v>248785.68235963257</v>
      </c>
      <c r="C8" s="496">
        <f>+C7*C4</f>
        <v>116441.72529841127</v>
      </c>
      <c r="D8" s="497">
        <f t="shared" ref="D8:F8" si="2">+D7*D4</f>
        <v>132343.9570612213</v>
      </c>
      <c r="E8" s="497">
        <f t="shared" si="2"/>
        <v>0</v>
      </c>
      <c r="F8" s="497">
        <f t="shared" si="2"/>
        <v>0</v>
      </c>
      <c r="G8" s="493"/>
      <c r="H8" s="495"/>
      <c r="I8" s="495"/>
      <c r="J8" s="495"/>
      <c r="K8" s="495"/>
      <c r="L8" s="495"/>
      <c r="M8" s="495"/>
      <c r="N8" s="495"/>
      <c r="O8" s="495"/>
      <c r="P8" s="495"/>
      <c r="Q8" s="483"/>
      <c r="R8" s="483"/>
      <c r="S8" s="483"/>
      <c r="T8" s="414"/>
      <c r="U8" s="414"/>
    </row>
    <row r="9" spans="1:21" s="428" customFormat="1" hidden="1" x14ac:dyDescent="0.25">
      <c r="A9" s="450"/>
      <c r="B9" s="451">
        <f t="shared" si="1"/>
        <v>33284</v>
      </c>
      <c r="C9" s="498">
        <f>+mayor!D9</f>
        <v>23284</v>
      </c>
      <c r="D9" s="499">
        <f>+mayor!D15</f>
        <v>10000</v>
      </c>
      <c r="E9" s="499"/>
      <c r="F9" s="499"/>
      <c r="G9" s="489"/>
      <c r="H9" s="495"/>
      <c r="I9" s="495"/>
      <c r="J9" s="495"/>
      <c r="K9" s="495"/>
      <c r="L9" s="495"/>
      <c r="M9" s="495"/>
      <c r="N9" s="495"/>
      <c r="O9" s="495"/>
      <c r="P9" s="495"/>
      <c r="Q9" s="483"/>
      <c r="R9" s="483"/>
      <c r="S9" s="483"/>
      <c r="T9" s="414"/>
      <c r="U9" s="414"/>
    </row>
    <row r="10" spans="1:21" s="428" customFormat="1" x14ac:dyDescent="0.25">
      <c r="A10" s="450" t="s">
        <v>114</v>
      </c>
      <c r="B10" s="452">
        <f t="shared" si="1"/>
        <v>241950.82726392604</v>
      </c>
      <c r="C10" s="496">
        <f>+C9*C4</f>
        <v>131664.19637957498</v>
      </c>
      <c r="D10" s="497">
        <f t="shared" ref="D10:F10" si="3">+D9*D4</f>
        <v>110286.63088435108</v>
      </c>
      <c r="E10" s="497">
        <f t="shared" si="3"/>
        <v>0</v>
      </c>
      <c r="F10" s="497">
        <f t="shared" si="3"/>
        <v>0</v>
      </c>
      <c r="G10" s="493"/>
      <c r="H10" s="495"/>
      <c r="I10" s="495"/>
      <c r="J10" s="495"/>
      <c r="K10" s="495"/>
      <c r="L10" s="495"/>
      <c r="M10" s="495"/>
      <c r="N10" s="495"/>
      <c r="O10" s="495"/>
      <c r="P10" s="495"/>
      <c r="Q10" s="483"/>
      <c r="R10" s="483"/>
      <c r="S10" s="483"/>
      <c r="T10" s="414"/>
      <c r="U10" s="414"/>
    </row>
    <row r="11" spans="1:21" s="428" customFormat="1" hidden="1" x14ac:dyDescent="0.25">
      <c r="A11" s="450"/>
      <c r="B11" s="451">
        <f>+C11+D11+E11+F11+G11</f>
        <v>101956</v>
      </c>
      <c r="C11" s="498"/>
      <c r="D11" s="499"/>
      <c r="E11" s="499">
        <f>+mayor!D24</f>
        <v>32576</v>
      </c>
      <c r="F11" s="499">
        <f>+mayor!D30</f>
        <v>31380</v>
      </c>
      <c r="G11" s="499">
        <f>+mayor!D34</f>
        <v>38000</v>
      </c>
      <c r="H11" s="495"/>
      <c r="I11" s="495"/>
      <c r="J11" s="495"/>
      <c r="K11" s="495"/>
      <c r="L11" s="495"/>
      <c r="M11" s="495"/>
      <c r="N11" s="495"/>
      <c r="O11" s="495"/>
      <c r="P11" s="495"/>
      <c r="Q11" s="483"/>
      <c r="R11" s="483"/>
      <c r="S11" s="483"/>
      <c r="T11" s="414"/>
      <c r="U11" s="414"/>
    </row>
    <row r="12" spans="1:21" s="428" customFormat="1" x14ac:dyDescent="0.25">
      <c r="A12" s="450" t="s">
        <v>242</v>
      </c>
      <c r="B12" s="451">
        <f>+C12+D12+E12+F12+G12</f>
        <v>714646.6291152793</v>
      </c>
      <c r="C12" s="496"/>
      <c r="D12" s="497"/>
      <c r="E12" s="497">
        <f>+E11*E4</f>
        <v>117372.25677127692</v>
      </c>
      <c r="F12" s="497">
        <f>+F11*F4</f>
        <v>377745.90859801101</v>
      </c>
      <c r="G12" s="497">
        <f>+G11*G4</f>
        <v>219528.46374599135</v>
      </c>
      <c r="H12" s="495"/>
      <c r="I12" s="531">
        <f>B8+B10+B12</f>
        <v>1205383.138738838</v>
      </c>
      <c r="J12" s="495"/>
      <c r="K12" s="495"/>
      <c r="L12" s="495"/>
      <c r="M12" s="495"/>
      <c r="N12" s="495"/>
      <c r="O12" s="495"/>
      <c r="P12" s="495"/>
      <c r="Q12" s="483"/>
      <c r="R12" s="483"/>
      <c r="S12" s="483"/>
      <c r="T12" s="414"/>
      <c r="U12" s="414"/>
    </row>
    <row r="13" spans="1:21" s="428" customFormat="1" hidden="1" x14ac:dyDescent="0.25">
      <c r="A13" s="453"/>
      <c r="B13" s="454"/>
      <c r="C13" s="495"/>
      <c r="D13" s="495"/>
      <c r="E13" s="495"/>
      <c r="F13" s="495"/>
      <c r="G13" s="483"/>
      <c r="H13" s="495"/>
      <c r="I13" s="495"/>
      <c r="J13" s="495"/>
      <c r="K13" s="495"/>
      <c r="L13" s="495"/>
      <c r="M13" s="495"/>
      <c r="N13" s="495"/>
      <c r="O13" s="495"/>
      <c r="P13" s="495"/>
      <c r="Q13" s="483"/>
      <c r="R13" s="483"/>
      <c r="S13" s="483"/>
      <c r="T13" s="414"/>
      <c r="U13" s="414"/>
    </row>
    <row r="14" spans="1:21" hidden="1" x14ac:dyDescent="0.25">
      <c r="A14" s="455"/>
      <c r="B14" s="456"/>
      <c r="C14" s="500" t="str">
        <f>+income!B7</f>
        <v>V0164</v>
      </c>
      <c r="D14" s="501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</row>
    <row r="15" spans="1:21" hidden="1" x14ac:dyDescent="0.25">
      <c r="A15" s="450"/>
      <c r="B15" s="452"/>
      <c r="C15" s="496">
        <f>+income!Q12</f>
        <v>3.6750923063105878</v>
      </c>
      <c r="D15" s="497"/>
      <c r="E15" s="495"/>
      <c r="F15" s="495"/>
      <c r="G15" s="495"/>
      <c r="H15" s="495"/>
      <c r="I15" s="495"/>
      <c r="J15" s="495"/>
      <c r="K15" s="495"/>
      <c r="L15" s="495"/>
      <c r="M15" s="495"/>
      <c r="N15" s="495"/>
      <c r="O15" s="495"/>
      <c r="P15" s="495"/>
    </row>
    <row r="16" spans="1:21" s="429" customFormat="1" hidden="1" x14ac:dyDescent="0.25">
      <c r="A16" s="450"/>
      <c r="B16" s="451">
        <f>+C16</f>
        <v>60000</v>
      </c>
      <c r="C16" s="498">
        <f>+income!D16</f>
        <v>60000</v>
      </c>
      <c r="D16" s="499"/>
      <c r="E16" s="502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P16" s="502"/>
      <c r="Q16" s="503"/>
      <c r="R16" s="503"/>
      <c r="S16" s="503"/>
      <c r="T16" s="430"/>
      <c r="U16" s="430"/>
    </row>
    <row r="17" spans="1:21" x14ac:dyDescent="0.25">
      <c r="A17" s="450" t="s">
        <v>240</v>
      </c>
      <c r="B17" s="452">
        <f>+C17</f>
        <v>220505.53837863528</v>
      </c>
      <c r="C17" s="496">
        <f>+$C$15*$C$16</f>
        <v>220505.53837863528</v>
      </c>
      <c r="D17" s="497"/>
      <c r="E17" s="504"/>
      <c r="F17" s="495"/>
      <c r="G17" s="495"/>
      <c r="H17" s="495"/>
      <c r="I17" s="495"/>
      <c r="J17" s="495"/>
      <c r="K17" s="495"/>
      <c r="L17" s="495"/>
      <c r="M17" s="495"/>
      <c r="N17" s="495"/>
      <c r="O17" s="495"/>
      <c r="P17" s="495"/>
    </row>
    <row r="18" spans="1:21" hidden="1" x14ac:dyDescent="0.25">
      <c r="A18" s="453"/>
      <c r="B18" s="454"/>
      <c r="C18" s="495"/>
      <c r="D18" s="495"/>
      <c r="E18" s="495"/>
      <c r="F18" s="495"/>
      <c r="G18" s="495"/>
      <c r="H18" s="495"/>
      <c r="I18" s="495"/>
      <c r="J18" s="495"/>
      <c r="K18" s="495"/>
      <c r="L18" s="495"/>
      <c r="M18" s="495"/>
      <c r="N18" s="495"/>
      <c r="O18" s="495"/>
      <c r="P18" s="495"/>
    </row>
    <row r="19" spans="1:21" hidden="1" x14ac:dyDescent="0.25">
      <c r="A19" s="455"/>
      <c r="B19" s="456"/>
      <c r="C19" s="500" t="str">
        <f>+workshop!B6</f>
        <v>V0155</v>
      </c>
      <c r="D19" s="501" t="str">
        <f>+workshop!B13</f>
        <v>V0156</v>
      </c>
      <c r="E19" s="495"/>
      <c r="F19" s="495"/>
      <c r="G19" s="495"/>
      <c r="H19" s="495"/>
      <c r="I19" s="495"/>
      <c r="J19" s="495"/>
      <c r="K19" s="495"/>
      <c r="L19" s="495"/>
      <c r="M19" s="495"/>
      <c r="N19" s="495"/>
      <c r="O19" s="495"/>
      <c r="P19" s="495"/>
    </row>
    <row r="20" spans="1:21" hidden="1" x14ac:dyDescent="0.25">
      <c r="A20" s="450"/>
      <c r="B20" s="452"/>
      <c r="C20" s="496">
        <f>+workshop!Q11</f>
        <v>11.258854610255355</v>
      </c>
      <c r="D20" s="497">
        <f>+workshop!Q16</f>
        <v>9.7734196093133185</v>
      </c>
      <c r="E20" s="495"/>
      <c r="F20" s="495"/>
      <c r="G20" s="495"/>
      <c r="H20" s="495"/>
      <c r="I20" s="495"/>
      <c r="J20" s="495"/>
      <c r="K20" s="495"/>
      <c r="L20" s="495"/>
      <c r="M20" s="495"/>
      <c r="N20" s="495"/>
      <c r="O20" s="495"/>
      <c r="P20" s="495"/>
    </row>
    <row r="21" spans="1:21" s="429" customFormat="1" hidden="1" x14ac:dyDescent="0.25">
      <c r="A21" s="450"/>
      <c r="B21" s="451">
        <f>+C21+D21</f>
        <v>21300</v>
      </c>
      <c r="C21" s="498">
        <f>+workshop!D8+workshop!D10</f>
        <v>11300</v>
      </c>
      <c r="D21" s="499">
        <f>+workshop!D15</f>
        <v>10000</v>
      </c>
      <c r="E21" s="502"/>
      <c r="F21" s="502"/>
      <c r="G21" s="502"/>
      <c r="H21" s="502"/>
      <c r="I21" s="502"/>
      <c r="J21" s="502"/>
      <c r="K21" s="502"/>
      <c r="L21" s="502"/>
      <c r="M21" s="502"/>
      <c r="N21" s="502"/>
      <c r="O21" s="502"/>
      <c r="P21" s="502"/>
      <c r="Q21" s="503"/>
      <c r="R21" s="503"/>
      <c r="S21" s="503"/>
      <c r="T21" s="430"/>
      <c r="U21" s="430"/>
    </row>
    <row r="22" spans="1:21" x14ac:dyDescent="0.25">
      <c r="A22" s="450" t="s">
        <v>66</v>
      </c>
      <c r="B22" s="452">
        <f>+C22+D22</f>
        <v>224959.25318901869</v>
      </c>
      <c r="C22" s="496">
        <f>+C21*C20</f>
        <v>127225.05709588551</v>
      </c>
      <c r="D22" s="497">
        <f>+D21*D20</f>
        <v>97734.196093133185</v>
      </c>
      <c r="E22" s="495"/>
      <c r="F22" s="495"/>
      <c r="G22" s="495"/>
      <c r="H22" s="495"/>
      <c r="I22" s="531">
        <f>B22+B24</f>
        <v>337547.79929157224</v>
      </c>
      <c r="J22" s="495"/>
      <c r="K22" s="495"/>
      <c r="L22" s="495"/>
      <c r="M22" s="495"/>
      <c r="N22" s="495"/>
      <c r="O22" s="495"/>
      <c r="P22" s="495"/>
    </row>
    <row r="23" spans="1:21" s="429" customFormat="1" hidden="1" x14ac:dyDescent="0.25">
      <c r="A23" s="450"/>
      <c r="B23" s="451">
        <f>+C23+D23</f>
        <v>10000</v>
      </c>
      <c r="C23" s="498">
        <f>+workshop!D9</f>
        <v>10000</v>
      </c>
      <c r="D23" s="499"/>
      <c r="E23" s="502"/>
      <c r="F23" s="502"/>
      <c r="G23" s="502"/>
      <c r="H23" s="502"/>
      <c r="I23" s="502"/>
      <c r="J23" s="502"/>
      <c r="K23" s="502"/>
      <c r="L23" s="502"/>
      <c r="M23" s="502"/>
      <c r="N23" s="502"/>
      <c r="O23" s="502"/>
      <c r="P23" s="502"/>
      <c r="Q23" s="503"/>
      <c r="R23" s="503"/>
      <c r="S23" s="503"/>
      <c r="T23" s="430"/>
      <c r="U23" s="430"/>
    </row>
    <row r="24" spans="1:21" x14ac:dyDescent="0.25">
      <c r="A24" s="450" t="s">
        <v>1489</v>
      </c>
      <c r="B24" s="452">
        <f>+C24+D24</f>
        <v>112588.54610255355</v>
      </c>
      <c r="C24" s="496">
        <f>+C23*C20</f>
        <v>112588.54610255355</v>
      </c>
      <c r="D24" s="497">
        <f>+D23*D20</f>
        <v>0</v>
      </c>
      <c r="E24" s="495"/>
      <c r="F24" s="495"/>
      <c r="G24" s="495"/>
      <c r="H24" s="495"/>
      <c r="I24" s="495"/>
      <c r="J24" s="495"/>
      <c r="K24" s="495"/>
      <c r="L24" s="495"/>
      <c r="M24" s="495"/>
      <c r="N24" s="495"/>
      <c r="O24" s="495"/>
      <c r="P24" s="495"/>
    </row>
    <row r="25" spans="1:21" hidden="1" x14ac:dyDescent="0.25">
      <c r="A25" s="453"/>
      <c r="B25" s="454"/>
      <c r="C25" s="495"/>
      <c r="D25" s="495"/>
      <c r="E25" s="495"/>
      <c r="F25" s="495"/>
      <c r="G25" s="495"/>
      <c r="H25" s="495"/>
      <c r="I25" s="483"/>
      <c r="J25" s="483"/>
      <c r="K25" s="483"/>
      <c r="L25" s="483"/>
      <c r="M25" s="495"/>
      <c r="N25" s="495"/>
      <c r="O25" s="495"/>
      <c r="P25" s="495"/>
    </row>
    <row r="26" spans="1:21" s="412" customFormat="1" hidden="1" x14ac:dyDescent="0.25">
      <c r="A26" s="455"/>
      <c r="B26" s="456"/>
      <c r="C26" s="500" t="str">
        <f>+'COMMUNITY SERV'!B5</f>
        <v>V0157</v>
      </c>
      <c r="D26" s="501" t="str">
        <f>+'COMMUNITY SERV'!B11</f>
        <v>V0158</v>
      </c>
      <c r="E26" s="501" t="str">
        <f>+'COMMUNITY SERV'!B18</f>
        <v>V0159</v>
      </c>
      <c r="F26" s="501" t="str">
        <f>+'COMMUNITY SERV'!B25</f>
        <v>V0160</v>
      </c>
      <c r="G26" s="501" t="str">
        <f>+'COMMUNITY SERV'!B31</f>
        <v>V0111</v>
      </c>
      <c r="H26" s="501"/>
      <c r="I26" s="505"/>
      <c r="J26" s="505"/>
      <c r="K26" s="505"/>
      <c r="L26" s="505"/>
      <c r="M26" s="506"/>
      <c r="N26" s="506"/>
      <c r="O26" s="506"/>
      <c r="P26" s="506"/>
      <c r="Q26" s="505"/>
      <c r="R26" s="505"/>
      <c r="S26" s="505"/>
      <c r="T26" s="432"/>
      <c r="U26" s="432"/>
    </row>
    <row r="27" spans="1:21" s="431" customFormat="1" hidden="1" x14ac:dyDescent="0.25">
      <c r="A27" s="457"/>
      <c r="B27" s="452"/>
      <c r="C27" s="496">
        <f>+'COMMUNITY SERV'!Q9</f>
        <v>5.517483693883813</v>
      </c>
      <c r="D27" s="497">
        <f>+'COMMUNITY SERV'!Q16</f>
        <v>6.5748819716679252</v>
      </c>
      <c r="E27" s="497">
        <f>+'COMMUNITY SERV'!Q23</f>
        <v>15.67616226919001</v>
      </c>
      <c r="F27" s="497">
        <f>+'COMMUNITY SERV'!Q29</f>
        <v>13.666993462118384</v>
      </c>
      <c r="G27" s="497">
        <f>+'COMMUNITY SERV'!Q40</f>
        <v>102.31621385514161</v>
      </c>
      <c r="H27" s="497"/>
      <c r="I27" s="493"/>
      <c r="J27" s="493"/>
      <c r="K27" s="493"/>
      <c r="L27" s="493"/>
      <c r="M27" s="507"/>
      <c r="N27" s="507"/>
      <c r="O27" s="507"/>
      <c r="P27" s="507"/>
      <c r="Q27" s="493"/>
      <c r="R27" s="493"/>
      <c r="S27" s="493"/>
      <c r="T27" s="427"/>
      <c r="U27" s="427"/>
    </row>
    <row r="28" spans="1:21" s="433" customFormat="1" hidden="1" x14ac:dyDescent="0.25">
      <c r="A28" s="450"/>
      <c r="B28" s="451">
        <f>+C28+D28+E28+F28+G28+H28</f>
        <v>96800</v>
      </c>
      <c r="C28" s="498">
        <f>+'COMMUNITY SERV'!D9</f>
        <v>20000</v>
      </c>
      <c r="D28" s="499">
        <f>+'COMMUNITY SERV'!D16</f>
        <v>35000</v>
      </c>
      <c r="E28" s="499">
        <f>+'COMMUNITY SERV'!D23</f>
        <v>25000</v>
      </c>
      <c r="F28" s="499">
        <f>+'COMMUNITY SERV'!D29</f>
        <v>15000</v>
      </c>
      <c r="G28" s="499">
        <f>+'COMMUNITY SERV'!D40</f>
        <v>1800</v>
      </c>
      <c r="H28" s="499"/>
      <c r="I28" s="489"/>
      <c r="J28" s="489"/>
      <c r="K28" s="489"/>
      <c r="L28" s="489"/>
      <c r="M28" s="508"/>
      <c r="N28" s="508"/>
      <c r="O28" s="508"/>
      <c r="P28" s="508"/>
      <c r="Q28" s="489"/>
      <c r="R28" s="489"/>
      <c r="S28" s="489"/>
      <c r="T28" s="422"/>
      <c r="U28" s="422"/>
    </row>
    <row r="29" spans="1:21" s="431" customFormat="1" x14ac:dyDescent="0.25">
      <c r="A29" s="457" t="s">
        <v>67</v>
      </c>
      <c r="B29" s="451">
        <f>+'COMMUNITY SERV'!O51+'COMMUNITY SERV'!O61</f>
        <v>1145757.6777606159</v>
      </c>
      <c r="C29" s="496">
        <f>+C28*C27</f>
        <v>110349.67387767626</v>
      </c>
      <c r="D29" s="497">
        <f>+D28*D27</f>
        <v>230120.86900837737</v>
      </c>
      <c r="E29" s="497">
        <f>+E28*E27</f>
        <v>391904.05672975024</v>
      </c>
      <c r="F29" s="497">
        <f>+F28*F27</f>
        <v>205004.90193177576</v>
      </c>
      <c r="G29" s="497">
        <f>+G28*G27</f>
        <v>184169.18493925489</v>
      </c>
      <c r="H29" s="497"/>
      <c r="I29" s="493"/>
      <c r="J29" s="493"/>
      <c r="K29" s="493"/>
      <c r="L29" s="493"/>
      <c r="M29" s="507"/>
      <c r="N29" s="507"/>
      <c r="O29" s="507"/>
      <c r="P29" s="507"/>
      <c r="Q29" s="493"/>
      <c r="R29" s="493"/>
      <c r="S29" s="493"/>
      <c r="T29" s="427"/>
      <c r="U29" s="427"/>
    </row>
    <row r="30" spans="1:21" hidden="1" x14ac:dyDescent="0.25">
      <c r="A30" s="453"/>
      <c r="B30" s="458"/>
      <c r="C30" s="495"/>
      <c r="D30" s="495"/>
      <c r="E30" s="495"/>
      <c r="F30" s="495"/>
      <c r="G30" s="495"/>
      <c r="H30" s="495"/>
      <c r="I30" s="483"/>
      <c r="J30" s="503"/>
      <c r="K30" s="483"/>
      <c r="L30" s="483"/>
      <c r="M30" s="495"/>
      <c r="N30" s="495"/>
      <c r="O30" s="495"/>
      <c r="P30" s="495"/>
    </row>
    <row r="31" spans="1:21" hidden="1" x14ac:dyDescent="0.25">
      <c r="A31" s="453"/>
      <c r="B31" s="458"/>
      <c r="C31" s="495"/>
      <c r="D31" s="495"/>
      <c r="E31" s="495"/>
      <c r="F31" s="495"/>
      <c r="G31" s="495"/>
      <c r="H31" s="495"/>
      <c r="I31" s="483"/>
      <c r="J31" s="503"/>
      <c r="K31" s="483"/>
      <c r="L31" s="483"/>
      <c r="M31" s="495"/>
      <c r="N31" s="495"/>
      <c r="O31" s="495"/>
      <c r="P31" s="495"/>
    </row>
    <row r="32" spans="1:21" s="412" customFormat="1" hidden="1" x14ac:dyDescent="0.25">
      <c r="A32" s="455"/>
      <c r="B32" s="456"/>
      <c r="C32" s="500" t="str">
        <f>+'COMMUNITY SERV'!B64</f>
        <v>V0116</v>
      </c>
      <c r="D32" s="501"/>
      <c r="E32" s="501" t="str">
        <f>+'COMMUNITY SERV'!B76</f>
        <v>V0163</v>
      </c>
      <c r="F32" s="501"/>
      <c r="G32" s="501"/>
      <c r="H32" s="501" t="str">
        <f>+'COMMUNITY SERV'!B87</f>
        <v>V0165</v>
      </c>
      <c r="I32" s="501" t="str">
        <f>+'COMMUNITY SERV'!B94</f>
        <v>V0166</v>
      </c>
      <c r="J32" s="506"/>
      <c r="K32" s="506"/>
      <c r="L32" s="506"/>
      <c r="M32" s="506"/>
      <c r="N32" s="506"/>
      <c r="O32" s="506"/>
      <c r="P32" s="506"/>
      <c r="Q32" s="505"/>
      <c r="R32" s="505"/>
      <c r="S32" s="505"/>
      <c r="T32" s="432"/>
      <c r="U32" s="432"/>
    </row>
    <row r="33" spans="1:21" s="431" customFormat="1" hidden="1" x14ac:dyDescent="0.25">
      <c r="A33" s="457"/>
      <c r="B33" s="452"/>
      <c r="C33" s="496">
        <f>+'COMMUNITY SERV'!Q74</f>
        <v>6.7661169595284827</v>
      </c>
      <c r="D33" s="497"/>
      <c r="E33" s="497">
        <f>+'COMMUNITY SERV'!Q85</f>
        <v>4.5614282682311504</v>
      </c>
      <c r="F33" s="497"/>
      <c r="G33" s="497"/>
      <c r="H33" s="497">
        <f>+'COMMUNITY SERV'!Q92</f>
        <v>11.207696053793128</v>
      </c>
      <c r="I33" s="497">
        <f>+'COMMUNITY SERV'!Q98</f>
        <v>24.346897870685975</v>
      </c>
      <c r="J33" s="507"/>
      <c r="K33" s="507"/>
      <c r="L33" s="507"/>
      <c r="M33" s="507"/>
      <c r="N33" s="507"/>
      <c r="O33" s="507"/>
      <c r="P33" s="507"/>
      <c r="Q33" s="493"/>
      <c r="R33" s="493"/>
      <c r="S33" s="493"/>
      <c r="T33" s="427"/>
      <c r="U33" s="427"/>
    </row>
    <row r="34" spans="1:21" s="429" customFormat="1" hidden="1" x14ac:dyDescent="0.25">
      <c r="A34" s="450"/>
      <c r="B34" s="451">
        <f>+C34+D34+E34+F34+G34+H34+I34</f>
        <v>643600</v>
      </c>
      <c r="C34" s="498">
        <f>+'COMMUNITY SERV'!D74</f>
        <v>310000</v>
      </c>
      <c r="D34" s="499"/>
      <c r="E34" s="499">
        <f>+'COMMUNITY SERV'!D85</f>
        <v>177600</v>
      </c>
      <c r="F34" s="499"/>
      <c r="G34" s="499"/>
      <c r="H34" s="499">
        <f>+'COMMUNITY SERV'!D92</f>
        <v>126000</v>
      </c>
      <c r="I34" s="499">
        <f>+'COMMUNITY SERV'!D98</f>
        <v>30000</v>
      </c>
      <c r="J34" s="502"/>
      <c r="K34" s="502"/>
      <c r="L34" s="502"/>
      <c r="M34" s="502"/>
      <c r="N34" s="502"/>
      <c r="O34" s="502"/>
      <c r="P34" s="502"/>
      <c r="Q34" s="503"/>
      <c r="R34" s="503"/>
      <c r="S34" s="503"/>
      <c r="T34" s="430"/>
      <c r="U34" s="430"/>
    </row>
    <row r="35" spans="1:21" s="429" customFormat="1" hidden="1" x14ac:dyDescent="0.25">
      <c r="A35" s="450" t="s">
        <v>73</v>
      </c>
      <c r="B35" s="451">
        <f>+'COMMUNITY SERV'!O100</f>
        <v>5050182.5567901954</v>
      </c>
      <c r="C35" s="498">
        <f>+C34*C33</f>
        <v>2097496.2574538295</v>
      </c>
      <c r="D35" s="499"/>
      <c r="E35" s="499">
        <f>+E34*E33</f>
        <v>810109.66043785226</v>
      </c>
      <c r="F35" s="499"/>
      <c r="G35" s="499"/>
      <c r="H35" s="499">
        <f>+H34*H33</f>
        <v>1412169.7027779343</v>
      </c>
      <c r="I35" s="499">
        <f>+I34*I33</f>
        <v>730406.93612057925</v>
      </c>
      <c r="J35" s="502"/>
      <c r="K35" s="502"/>
      <c r="L35" s="502"/>
      <c r="M35" s="502"/>
      <c r="N35" s="502"/>
      <c r="O35" s="502"/>
      <c r="P35" s="502"/>
      <c r="Q35" s="503"/>
      <c r="R35" s="503"/>
      <c r="S35" s="503"/>
      <c r="T35" s="430"/>
      <c r="U35" s="430"/>
    </row>
    <row r="36" spans="1:21" s="433" customFormat="1" hidden="1" x14ac:dyDescent="0.25">
      <c r="A36" s="459" t="s">
        <v>504</v>
      </c>
      <c r="B36" s="451">
        <f t="shared" ref="B36:B41" si="4">+C36+D36+E36+F36+G36+H36+I36</f>
        <v>386160</v>
      </c>
      <c r="C36" s="498">
        <f t="shared" ref="C36:I36" si="5">+C34*60%</f>
        <v>186000</v>
      </c>
      <c r="D36" s="499"/>
      <c r="E36" s="499">
        <f t="shared" si="5"/>
        <v>106560</v>
      </c>
      <c r="F36" s="499"/>
      <c r="G36" s="499"/>
      <c r="H36" s="499">
        <f t="shared" si="5"/>
        <v>75600</v>
      </c>
      <c r="I36" s="499">
        <f t="shared" si="5"/>
        <v>18000</v>
      </c>
      <c r="J36" s="508"/>
      <c r="K36" s="508"/>
      <c r="L36" s="508"/>
      <c r="M36" s="508"/>
      <c r="N36" s="508"/>
      <c r="O36" s="508"/>
      <c r="P36" s="508"/>
      <c r="Q36" s="489"/>
      <c r="R36" s="489"/>
      <c r="S36" s="489"/>
      <c r="T36" s="422"/>
      <c r="U36" s="422"/>
    </row>
    <row r="37" spans="1:21" x14ac:dyDescent="0.25">
      <c r="A37" s="457" t="s">
        <v>70</v>
      </c>
      <c r="B37" s="451">
        <f t="shared" si="4"/>
        <v>3030109.534074117</v>
      </c>
      <c r="C37" s="509">
        <f t="shared" ref="C37:I37" si="6">+C35*60%</f>
        <v>1258497.7544722976</v>
      </c>
      <c r="D37" s="510"/>
      <c r="E37" s="510">
        <f t="shared" si="6"/>
        <v>486065.79626271134</v>
      </c>
      <c r="F37" s="510"/>
      <c r="G37" s="510"/>
      <c r="H37" s="510">
        <f t="shared" si="6"/>
        <v>847301.82166676049</v>
      </c>
      <c r="I37" s="510">
        <f t="shared" si="6"/>
        <v>438244.16167234752</v>
      </c>
      <c r="J37" s="495"/>
      <c r="K37" s="495"/>
      <c r="L37" s="495"/>
      <c r="M37" s="495"/>
      <c r="N37" s="495"/>
      <c r="O37" s="495"/>
      <c r="P37" s="495"/>
    </row>
    <row r="38" spans="1:21" s="433" customFormat="1" hidden="1" x14ac:dyDescent="0.25">
      <c r="A38" s="459" t="s">
        <v>75</v>
      </c>
      <c r="B38" s="451">
        <f t="shared" si="4"/>
        <v>193080</v>
      </c>
      <c r="C38" s="498">
        <f>+C34*30%</f>
        <v>93000</v>
      </c>
      <c r="D38" s="499"/>
      <c r="E38" s="499">
        <f>+E34*30%</f>
        <v>53280</v>
      </c>
      <c r="F38" s="499"/>
      <c r="G38" s="499"/>
      <c r="H38" s="499">
        <f>+H34*30%</f>
        <v>37800</v>
      </c>
      <c r="I38" s="499">
        <f>+I34*30%</f>
        <v>9000</v>
      </c>
      <c r="J38" s="508"/>
      <c r="K38" s="508"/>
      <c r="L38" s="508"/>
      <c r="M38" s="508"/>
      <c r="N38" s="508"/>
      <c r="O38" s="508"/>
      <c r="P38" s="508"/>
      <c r="Q38" s="489"/>
      <c r="R38" s="489"/>
      <c r="S38" s="489"/>
      <c r="T38" s="422"/>
      <c r="U38" s="422"/>
    </row>
    <row r="39" spans="1:21" x14ac:dyDescent="0.25">
      <c r="A39" s="457" t="s">
        <v>68</v>
      </c>
      <c r="B39" s="451">
        <f t="shared" si="4"/>
        <v>1515054.7670370585</v>
      </c>
      <c r="C39" s="496">
        <f>+C35*30%</f>
        <v>629248.87723614881</v>
      </c>
      <c r="D39" s="497"/>
      <c r="E39" s="497">
        <f>+E35*30%</f>
        <v>243032.89813135567</v>
      </c>
      <c r="F39" s="497"/>
      <c r="G39" s="497"/>
      <c r="H39" s="497">
        <f>+H35*30%</f>
        <v>423650.91083338024</v>
      </c>
      <c r="I39" s="497">
        <f>+I35*30%</f>
        <v>219122.08083617376</v>
      </c>
      <c r="J39" s="495"/>
      <c r="K39" s="495"/>
      <c r="L39" s="495"/>
      <c r="M39" s="495"/>
      <c r="N39" s="495"/>
      <c r="O39" s="495"/>
      <c r="P39" s="495"/>
    </row>
    <row r="40" spans="1:21" s="434" customFormat="1" ht="12" hidden="1" customHeight="1" x14ac:dyDescent="0.25">
      <c r="A40" s="460" t="s">
        <v>505</v>
      </c>
      <c r="B40" s="451">
        <f t="shared" si="4"/>
        <v>64360</v>
      </c>
      <c r="C40" s="498">
        <f>+C34*10%</f>
        <v>31000</v>
      </c>
      <c r="D40" s="499"/>
      <c r="E40" s="499">
        <f>+E34*10%</f>
        <v>17760</v>
      </c>
      <c r="F40" s="499"/>
      <c r="G40" s="499"/>
      <c r="H40" s="499">
        <f>+H34*10%</f>
        <v>12600</v>
      </c>
      <c r="I40" s="499">
        <f>+I34*10%</f>
        <v>3000</v>
      </c>
      <c r="J40" s="508"/>
      <c r="K40" s="508"/>
      <c r="L40" s="508"/>
      <c r="M40" s="508"/>
      <c r="N40" s="508"/>
      <c r="O40" s="508"/>
      <c r="P40" s="508"/>
      <c r="Q40" s="489"/>
      <c r="R40" s="489"/>
      <c r="S40" s="489"/>
      <c r="T40" s="422"/>
      <c r="U40" s="422"/>
    </row>
    <row r="41" spans="1:21" x14ac:dyDescent="0.25">
      <c r="A41" s="457" t="s">
        <v>69</v>
      </c>
      <c r="B41" s="451">
        <f t="shared" si="4"/>
        <v>505018.25567901961</v>
      </c>
      <c r="C41" s="496">
        <f>+C35*10%</f>
        <v>209749.62574538297</v>
      </c>
      <c r="D41" s="497"/>
      <c r="E41" s="497">
        <f>+E35*10%</f>
        <v>81010.966043785229</v>
      </c>
      <c r="F41" s="497"/>
      <c r="G41" s="497"/>
      <c r="H41" s="497">
        <f>+H35*10%</f>
        <v>141216.97027779344</v>
      </c>
      <c r="I41" s="497">
        <f>+I35*10%</f>
        <v>73040.693612057934</v>
      </c>
      <c r="J41" s="495"/>
      <c r="K41" s="495"/>
      <c r="L41" s="495"/>
      <c r="M41" s="495"/>
      <c r="N41" s="495"/>
      <c r="O41" s="495"/>
      <c r="P41" s="495"/>
    </row>
    <row r="42" spans="1:21" s="428" customFormat="1" hidden="1" x14ac:dyDescent="0.25">
      <c r="A42" s="460"/>
      <c r="B42" s="454"/>
      <c r="C42" s="503"/>
      <c r="D42" s="503"/>
      <c r="E42" s="503"/>
      <c r="F42" s="503"/>
      <c r="G42" s="503"/>
      <c r="H42" s="503"/>
      <c r="I42" s="495"/>
      <c r="J42" s="495"/>
      <c r="K42" s="495"/>
      <c r="L42" s="495"/>
      <c r="M42" s="495"/>
      <c r="N42" s="495"/>
      <c r="O42" s="495"/>
      <c r="P42" s="495"/>
      <c r="Q42" s="483"/>
      <c r="R42" s="483"/>
      <c r="S42" s="483"/>
      <c r="T42" s="414"/>
      <c r="U42" s="414"/>
    </row>
    <row r="43" spans="1:21" hidden="1" x14ac:dyDescent="0.25">
      <c r="A43" s="450"/>
      <c r="B43" s="452"/>
      <c r="C43" s="500" t="str">
        <f>+EEM!B5</f>
        <v>V0167</v>
      </c>
      <c r="D43" s="501" t="str">
        <f>+EEM!B11</f>
        <v>V0168</v>
      </c>
      <c r="E43" s="501" t="str">
        <f>+EEM!B27</f>
        <v>V0169</v>
      </c>
      <c r="F43" s="501" t="str">
        <f>+EEM!B50</f>
        <v>V0124</v>
      </c>
      <c r="G43" s="501" t="str">
        <f>+EEM!B57</f>
        <v>V0125</v>
      </c>
      <c r="H43" s="501"/>
      <c r="I43" s="501" t="str">
        <f>+EEM!B64</f>
        <v>V0170</v>
      </c>
      <c r="J43" s="501" t="str">
        <f>+EEM!B71</f>
        <v>V0171</v>
      </c>
      <c r="K43" s="501"/>
      <c r="L43" s="501" t="str">
        <f>+EEM!B78</f>
        <v>V0172</v>
      </c>
      <c r="M43" s="495"/>
      <c r="N43" s="495"/>
      <c r="O43" s="495"/>
      <c r="P43" s="495"/>
    </row>
    <row r="44" spans="1:21" s="431" customFormat="1" hidden="1" x14ac:dyDescent="0.25">
      <c r="A44" s="457"/>
      <c r="B44" s="452"/>
      <c r="C44" s="496">
        <f>+EEM!Q9</f>
        <v>8.1192031159885598</v>
      </c>
      <c r="D44" s="497">
        <f>+EEM!Q24</f>
        <v>14.105699761801965</v>
      </c>
      <c r="E44" s="497">
        <f>+EEM!Q48</f>
        <v>5.0741960412440017</v>
      </c>
      <c r="F44" s="497">
        <f>+EEM!Q54</f>
        <v>872.77038947809729</v>
      </c>
      <c r="G44" s="497">
        <f>+EEM!Q61</f>
        <v>1887.8676816409286</v>
      </c>
      <c r="H44" s="497"/>
      <c r="I44" s="497">
        <f>+EEM!Q69</f>
        <v>22.25751386256524</v>
      </c>
      <c r="J44" s="497">
        <f>+EEM!Q76</f>
        <v>33.025405804219396</v>
      </c>
      <c r="K44" s="497"/>
      <c r="L44" s="497">
        <f>+EEM!Q82</f>
        <v>42.41280875030813</v>
      </c>
      <c r="M44" s="507"/>
      <c r="N44" s="507"/>
      <c r="O44" s="507"/>
      <c r="P44" s="507"/>
      <c r="Q44" s="493"/>
      <c r="R44" s="493"/>
      <c r="S44" s="493"/>
      <c r="T44" s="427"/>
      <c r="U44" s="427"/>
    </row>
    <row r="45" spans="1:21" s="435" customFormat="1" hidden="1" x14ac:dyDescent="0.25">
      <c r="A45" s="457"/>
      <c r="B45" s="451">
        <f>+C45+D45+E45+F45+G45+H45+I45+J45+K45+L45</f>
        <v>703035</v>
      </c>
      <c r="C45" s="511">
        <f>+EEM!D9</f>
        <v>15000</v>
      </c>
      <c r="D45" s="512">
        <f>+EEM!D24</f>
        <v>138000</v>
      </c>
      <c r="E45" s="512">
        <f>+EEM!D48</f>
        <v>508000</v>
      </c>
      <c r="F45" s="512">
        <f>+EEM!D54</f>
        <v>10</v>
      </c>
      <c r="G45" s="512">
        <f>+EEM!D61</f>
        <v>25</v>
      </c>
      <c r="H45" s="512"/>
      <c r="I45" s="512">
        <f>+EEM!D69</f>
        <v>16000</v>
      </c>
      <c r="J45" s="512">
        <f>+EEM!D76</f>
        <v>16000</v>
      </c>
      <c r="K45" s="512"/>
      <c r="L45" s="512">
        <f>+EEM!D80</f>
        <v>10000</v>
      </c>
      <c r="M45" s="513"/>
      <c r="N45" s="513"/>
      <c r="O45" s="513"/>
      <c r="P45" s="513"/>
      <c r="Q45" s="513"/>
      <c r="R45" s="514"/>
      <c r="S45" s="514"/>
      <c r="T45" s="436"/>
      <c r="U45" s="436"/>
    </row>
    <row r="46" spans="1:21" hidden="1" x14ac:dyDescent="0.25">
      <c r="A46" s="450" t="s">
        <v>73</v>
      </c>
      <c r="B46" s="452">
        <f>+EEM!O97</f>
        <v>6039343.978517266</v>
      </c>
      <c r="C46" s="496">
        <f>+C44*C45</f>
        <v>121788.04673982839</v>
      </c>
      <c r="D46" s="497">
        <f t="shared" ref="D46:L46" si="7">+D44*D45</f>
        <v>1946586.5671286711</v>
      </c>
      <c r="E46" s="497">
        <f t="shared" si="7"/>
        <v>2577691.5889519528</v>
      </c>
      <c r="F46" s="497">
        <f t="shared" si="7"/>
        <v>8727.7038947809724</v>
      </c>
      <c r="G46" s="497">
        <f t="shared" si="7"/>
        <v>47196.692041023212</v>
      </c>
      <c r="H46" s="497"/>
      <c r="I46" s="497">
        <f t="shared" si="7"/>
        <v>356120.22180104384</v>
      </c>
      <c r="J46" s="497">
        <f t="shared" si="7"/>
        <v>528406.4928675103</v>
      </c>
      <c r="K46" s="497"/>
      <c r="L46" s="497">
        <f t="shared" si="7"/>
        <v>424128.0875030813</v>
      </c>
      <c r="M46" s="495"/>
      <c r="N46" s="495"/>
      <c r="O46" s="504"/>
      <c r="P46" s="495"/>
    </row>
    <row r="47" spans="1:21" s="437" customFormat="1" hidden="1" x14ac:dyDescent="0.25">
      <c r="A47" s="461" t="s">
        <v>74</v>
      </c>
      <c r="B47" s="451">
        <f>+B45*70%</f>
        <v>492124.49999999994</v>
      </c>
      <c r="C47" s="515">
        <f t="shared" ref="C47:J48" si="8">+C45*70%</f>
        <v>10500</v>
      </c>
      <c r="D47" s="516">
        <f t="shared" si="8"/>
        <v>96600</v>
      </c>
      <c r="E47" s="516">
        <f t="shared" si="8"/>
        <v>355600</v>
      </c>
      <c r="F47" s="516">
        <f t="shared" si="8"/>
        <v>7</v>
      </c>
      <c r="G47" s="516">
        <f t="shared" si="8"/>
        <v>17.5</v>
      </c>
      <c r="H47" s="516"/>
      <c r="I47" s="516">
        <f t="shared" si="8"/>
        <v>11200</v>
      </c>
      <c r="J47" s="516">
        <f t="shared" si="8"/>
        <v>11200</v>
      </c>
      <c r="K47" s="516"/>
      <c r="L47" s="516">
        <f>+L45*70%</f>
        <v>7000</v>
      </c>
      <c r="M47" s="517"/>
      <c r="N47" s="517"/>
      <c r="O47" s="517"/>
      <c r="P47" s="517"/>
      <c r="Q47" s="518"/>
      <c r="R47" s="518"/>
      <c r="S47" s="518"/>
      <c r="T47" s="438"/>
      <c r="U47" s="438"/>
    </row>
    <row r="48" spans="1:21" x14ac:dyDescent="0.25">
      <c r="A48" s="450" t="s">
        <v>71</v>
      </c>
      <c r="B48" s="452">
        <f>SUM(C48:L48)</f>
        <v>4207451.7806495242</v>
      </c>
      <c r="C48" s="515">
        <f t="shared" si="8"/>
        <v>85251.632717879867</v>
      </c>
      <c r="D48" s="516">
        <f t="shared" si="8"/>
        <v>1362610.5969900696</v>
      </c>
      <c r="E48" s="516">
        <f t="shared" si="8"/>
        <v>1804384.1122663668</v>
      </c>
      <c r="F48" s="516">
        <f t="shared" si="8"/>
        <v>6109.3927263466803</v>
      </c>
      <c r="G48" s="516">
        <f t="shared" si="8"/>
        <v>33037.684428716246</v>
      </c>
      <c r="H48" s="516"/>
      <c r="I48" s="516">
        <f t="shared" si="8"/>
        <v>249284.15526073068</v>
      </c>
      <c r="J48" s="516">
        <f t="shared" si="8"/>
        <v>369884.5450072572</v>
      </c>
      <c r="K48" s="516"/>
      <c r="L48" s="516">
        <f>+L46*70%</f>
        <v>296889.66125215689</v>
      </c>
      <c r="M48" s="495"/>
      <c r="N48" s="495"/>
      <c r="O48" s="513"/>
      <c r="P48" s="513"/>
      <c r="Q48" s="514"/>
    </row>
    <row r="49" spans="1:21" s="437" customFormat="1" hidden="1" x14ac:dyDescent="0.25">
      <c r="A49" s="461" t="s">
        <v>75</v>
      </c>
      <c r="B49" s="451">
        <f>+B45*30%</f>
        <v>210910.5</v>
      </c>
      <c r="C49" s="515">
        <f t="shared" ref="C49:J50" si="9">+C45*30%</f>
        <v>4500</v>
      </c>
      <c r="D49" s="516">
        <f t="shared" si="9"/>
        <v>41400</v>
      </c>
      <c r="E49" s="516">
        <f t="shared" si="9"/>
        <v>152400</v>
      </c>
      <c r="F49" s="516">
        <f t="shared" si="9"/>
        <v>3</v>
      </c>
      <c r="G49" s="516">
        <f t="shared" si="9"/>
        <v>7.5</v>
      </c>
      <c r="H49" s="516"/>
      <c r="I49" s="516">
        <f t="shared" si="9"/>
        <v>4800</v>
      </c>
      <c r="J49" s="516">
        <f t="shared" si="9"/>
        <v>4800</v>
      </c>
      <c r="K49" s="516"/>
      <c r="L49" s="516">
        <f>+L45*30%</f>
        <v>3000</v>
      </c>
      <c r="M49" s="517"/>
      <c r="N49" s="517"/>
      <c r="O49" s="517"/>
      <c r="P49" s="517"/>
      <c r="Q49" s="518"/>
      <c r="R49" s="518"/>
      <c r="S49" s="518"/>
      <c r="T49" s="438"/>
      <c r="U49" s="438"/>
    </row>
    <row r="50" spans="1:21" x14ac:dyDescent="0.25">
      <c r="A50" s="450" t="s">
        <v>72</v>
      </c>
      <c r="B50" s="452">
        <f>SUM(C50:L50)</f>
        <v>1803193.6202783673</v>
      </c>
      <c r="C50" s="515">
        <f t="shared" si="9"/>
        <v>36536.41402194852</v>
      </c>
      <c r="D50" s="516">
        <f t="shared" si="9"/>
        <v>583975.97013860126</v>
      </c>
      <c r="E50" s="516">
        <f t="shared" si="9"/>
        <v>773307.4766855858</v>
      </c>
      <c r="F50" s="516">
        <f t="shared" si="9"/>
        <v>2618.3111684342916</v>
      </c>
      <c r="G50" s="516">
        <f t="shared" si="9"/>
        <v>14159.007612306963</v>
      </c>
      <c r="H50" s="516"/>
      <c r="I50" s="516">
        <f t="shared" si="9"/>
        <v>106836.06654031314</v>
      </c>
      <c r="J50" s="516">
        <f t="shared" si="9"/>
        <v>158521.94786025307</v>
      </c>
      <c r="K50" s="516"/>
      <c r="L50" s="516">
        <f>+L46*30%</f>
        <v>127238.42625092439</v>
      </c>
      <c r="M50" s="495"/>
      <c r="N50" s="495"/>
      <c r="O50" s="495"/>
      <c r="P50" s="495"/>
    </row>
    <row r="51" spans="1:21" hidden="1" x14ac:dyDescent="0.25">
      <c r="A51" s="453"/>
      <c r="B51" s="454"/>
      <c r="C51" s="495"/>
      <c r="D51" s="495"/>
      <c r="E51" s="495"/>
      <c r="F51" s="495"/>
      <c r="G51" s="495"/>
      <c r="H51" s="504"/>
      <c r="I51" s="495"/>
      <c r="J51" s="495"/>
      <c r="K51" s="495"/>
      <c r="L51" s="495"/>
      <c r="M51" s="495"/>
      <c r="N51" s="495"/>
      <c r="O51" s="495"/>
      <c r="P51" s="495"/>
    </row>
    <row r="52" spans="1:21" s="412" customFormat="1" hidden="1" x14ac:dyDescent="0.25">
      <c r="A52" s="455"/>
      <c r="B52" s="456"/>
      <c r="C52" s="500" t="str">
        <f>+CEM!B11</f>
        <v>V0174</v>
      </c>
      <c r="D52" s="501" t="str">
        <f>+CEM!B18</f>
        <v>V0175</v>
      </c>
      <c r="E52" s="501" t="str">
        <f>+CEM!B25</f>
        <v>V0176</v>
      </c>
      <c r="F52" s="501" t="str">
        <f>+CEM!B33</f>
        <v>V0177</v>
      </c>
      <c r="G52" s="501" t="str">
        <f>+CEM!B38</f>
        <v>V0178</v>
      </c>
      <c r="H52" s="501" t="str">
        <f>+CEM!B43</f>
        <v>V0179</v>
      </c>
      <c r="I52" s="501" t="str">
        <f>+CEM!B51</f>
        <v>V0151</v>
      </c>
      <c r="J52" s="501" t="str">
        <f>+CEM!B57</f>
        <v>V0180</v>
      </c>
      <c r="K52" s="501" t="str">
        <f>+CEM!B63</f>
        <v>V0181</v>
      </c>
      <c r="L52" s="501" t="str">
        <f>+CEM!B69</f>
        <v>V0182</v>
      </c>
      <c r="M52" s="501" t="str">
        <f>+CEM!B75</f>
        <v>V0183</v>
      </c>
      <c r="N52" s="501" t="str">
        <f>+CEM!B84</f>
        <v>V0134</v>
      </c>
      <c r="O52" s="501" t="str">
        <f>+CEM!B106</f>
        <v>V0135</v>
      </c>
      <c r="P52" s="506"/>
      <c r="Q52" s="505"/>
      <c r="R52" s="505"/>
      <c r="S52" s="505"/>
      <c r="T52" s="432"/>
      <c r="U52" s="432"/>
    </row>
    <row r="53" spans="1:21" s="431" customFormat="1" hidden="1" x14ac:dyDescent="0.25">
      <c r="A53" s="457"/>
      <c r="B53" s="452"/>
      <c r="C53" s="496">
        <f>+CEM!Q16</f>
        <v>3.8147455754245883</v>
      </c>
      <c r="D53" s="497">
        <f>+CEM!Q23</f>
        <v>7.1516995341803673</v>
      </c>
      <c r="E53" s="497">
        <f>+CEM!Q31</f>
        <v>15.318434658094976</v>
      </c>
      <c r="F53" s="497">
        <f>+CEM!Q36</f>
        <v>28.844195626031365</v>
      </c>
      <c r="G53" s="497">
        <f>+CEM!Q41</f>
        <v>20.116449132083122</v>
      </c>
      <c r="H53" s="497">
        <f>+CEM!Q48</f>
        <v>22.963102576604339</v>
      </c>
      <c r="I53" s="497">
        <f>+CEM!Q55</f>
        <v>878.25697907948188</v>
      </c>
      <c r="J53" s="497">
        <f>+CEM!Q61</f>
        <v>331.39465820676321</v>
      </c>
      <c r="K53" s="497">
        <f>+CEM!Q67</f>
        <v>433.87295372376377</v>
      </c>
      <c r="L53" s="497">
        <f>+CEM!Q73</f>
        <v>32.377229392306333</v>
      </c>
      <c r="M53" s="497">
        <f>+CEM!Q81</f>
        <v>20.80974848592972</v>
      </c>
      <c r="N53" s="497">
        <f>+CEM!Q101</f>
        <v>222.06976400332275</v>
      </c>
      <c r="O53" s="497">
        <f>+CEM!Q111</f>
        <v>172.58802902529911</v>
      </c>
      <c r="P53" s="507"/>
      <c r="Q53" s="493"/>
      <c r="R53" s="493"/>
      <c r="S53" s="493"/>
      <c r="T53" s="427"/>
      <c r="U53" s="427"/>
    </row>
    <row r="54" spans="1:21" s="433" customFormat="1" hidden="1" x14ac:dyDescent="0.25">
      <c r="A54" s="450"/>
      <c r="B54" s="451">
        <f>+C54+D54+E54+F54+G54+H54+I54+J54+K54+L54+M54+N54+O54</f>
        <v>309735</v>
      </c>
      <c r="C54" s="498">
        <f>+CEM!D16</f>
        <v>113700</v>
      </c>
      <c r="D54" s="499">
        <f>+CEM!D20+CEM!D21</f>
        <v>40000</v>
      </c>
      <c r="E54" s="499">
        <f>+CEM!D27+CEM!D28+CEM!D30</f>
        <v>33000</v>
      </c>
      <c r="F54" s="499">
        <f>+CEM!D36</f>
        <v>10000</v>
      </c>
      <c r="G54" s="499">
        <f>+CEM!D41</f>
        <v>20000</v>
      </c>
      <c r="H54" s="499">
        <f>+CEM!D48</f>
        <v>30000</v>
      </c>
      <c r="I54" s="499">
        <f>+CEM!D55</f>
        <v>3000</v>
      </c>
      <c r="J54" s="499">
        <f>+CEM!D61</f>
        <v>2000</v>
      </c>
      <c r="K54" s="499">
        <f>+CEM!D67</f>
        <v>2000</v>
      </c>
      <c r="L54" s="499">
        <f>+CEM!D73</f>
        <v>15000</v>
      </c>
      <c r="M54" s="499">
        <f>+CEM!D81</f>
        <v>40000</v>
      </c>
      <c r="N54" s="499">
        <f>+CEM!D101</f>
        <v>775</v>
      </c>
      <c r="O54" s="499">
        <f>+CEM!D111</f>
        <v>260</v>
      </c>
      <c r="P54" s="508"/>
      <c r="Q54" s="489"/>
      <c r="R54" s="489"/>
      <c r="S54" s="489"/>
      <c r="T54" s="422"/>
      <c r="U54" s="422"/>
    </row>
    <row r="55" spans="1:21" x14ac:dyDescent="0.25">
      <c r="A55" s="450" t="s">
        <v>76</v>
      </c>
      <c r="B55" s="452">
        <f>+CEM!O123</f>
        <v>8253043.1142745698</v>
      </c>
      <c r="C55" s="496">
        <f t="shared" ref="C55:H55" si="10">+C53*C54</f>
        <v>433736.57192577567</v>
      </c>
      <c r="D55" s="497">
        <f t="shared" si="10"/>
        <v>286067.9813672147</v>
      </c>
      <c r="E55" s="497">
        <f t="shared" si="10"/>
        <v>505508.34371713421</v>
      </c>
      <c r="F55" s="497">
        <f t="shared" si="10"/>
        <v>288441.95626031363</v>
      </c>
      <c r="G55" s="497">
        <f t="shared" si="10"/>
        <v>402328.98264166247</v>
      </c>
      <c r="H55" s="497">
        <f t="shared" si="10"/>
        <v>688893.07729813014</v>
      </c>
      <c r="I55" s="497">
        <f>I54*I53</f>
        <v>2634770.9372384455</v>
      </c>
      <c r="J55" s="497">
        <f t="shared" ref="J55:O55" si="11">+J53*J54</f>
        <v>662789.31641352642</v>
      </c>
      <c r="K55" s="497">
        <f t="shared" si="11"/>
        <v>867745.90744752751</v>
      </c>
      <c r="L55" s="497">
        <f t="shared" si="11"/>
        <v>485658.44088459498</v>
      </c>
      <c r="M55" s="497">
        <f t="shared" si="11"/>
        <v>832389.93943718879</v>
      </c>
      <c r="N55" s="497">
        <f t="shared" si="11"/>
        <v>172104.06710257512</v>
      </c>
      <c r="O55" s="497">
        <f t="shared" si="11"/>
        <v>44872.887546577767</v>
      </c>
      <c r="P55" s="495"/>
      <c r="Q55" s="493"/>
      <c r="R55" s="493"/>
      <c r="S55" s="493"/>
      <c r="T55" s="427"/>
      <c r="U55" s="427"/>
    </row>
    <row r="56" spans="1:21" hidden="1" x14ac:dyDescent="0.25">
      <c r="A56" s="453"/>
      <c r="B56" s="454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</row>
    <row r="57" spans="1:21" s="412" customFormat="1" hidden="1" x14ac:dyDescent="0.25">
      <c r="A57" s="455"/>
      <c r="B57" s="456"/>
      <c r="C57" s="500" t="str">
        <f>+CEM!B125</f>
        <v>V0139</v>
      </c>
      <c r="D57" s="501" t="str">
        <f>+CEM!B5</f>
        <v>V0173</v>
      </c>
      <c r="E57" s="501" t="str">
        <f>+CEM!B18</f>
        <v>V0175</v>
      </c>
      <c r="F57" s="501" t="str">
        <f>+CEM!B25</f>
        <v>V0176</v>
      </c>
      <c r="G57" s="505"/>
      <c r="H57" s="505"/>
      <c r="I57" s="506"/>
      <c r="J57" s="506"/>
      <c r="K57" s="506"/>
      <c r="L57" s="506"/>
      <c r="M57" s="506"/>
      <c r="N57" s="506"/>
      <c r="O57" s="506"/>
      <c r="P57" s="506"/>
      <c r="Q57" s="505"/>
      <c r="R57" s="505"/>
      <c r="S57" s="505"/>
      <c r="T57" s="432"/>
      <c r="U57" s="432"/>
    </row>
    <row r="58" spans="1:21" hidden="1" x14ac:dyDescent="0.25">
      <c r="A58" s="450"/>
      <c r="B58" s="452"/>
      <c r="C58" s="496">
        <f>+CEM!Q128</f>
        <v>76.622273119455215</v>
      </c>
      <c r="D58" s="497">
        <f>+CEM!Q9</f>
        <v>4.9368935949848209</v>
      </c>
      <c r="E58" s="497">
        <f>+CEM!Q23</f>
        <v>7.1516995341803673</v>
      </c>
      <c r="F58" s="497">
        <f>+CEM!Q31</f>
        <v>15.318434658094976</v>
      </c>
      <c r="G58" s="483"/>
      <c r="H58" s="483"/>
      <c r="I58" s="495"/>
      <c r="J58" s="495"/>
      <c r="K58" s="495"/>
      <c r="L58" s="495"/>
      <c r="M58" s="495"/>
      <c r="N58" s="495"/>
      <c r="O58" s="495"/>
      <c r="P58" s="495"/>
    </row>
    <row r="59" spans="1:21" s="433" customFormat="1" hidden="1" x14ac:dyDescent="0.25">
      <c r="A59" s="450"/>
      <c r="B59" s="451">
        <f>+C59+D59+E59+F59</f>
        <v>68100</v>
      </c>
      <c r="C59" s="498">
        <f>+CEM!D128</f>
        <v>100</v>
      </c>
      <c r="D59" s="499">
        <f>+CEM!D9</f>
        <v>50000</v>
      </c>
      <c r="E59" s="499">
        <f>+CEM!D22</f>
        <v>10000</v>
      </c>
      <c r="F59" s="499">
        <f>+CEM!D29</f>
        <v>8000</v>
      </c>
      <c r="G59" s="489"/>
      <c r="H59" s="489"/>
      <c r="I59" s="508"/>
      <c r="J59" s="508"/>
      <c r="K59" s="508"/>
      <c r="L59" s="508"/>
      <c r="M59" s="508"/>
      <c r="N59" s="508"/>
      <c r="O59" s="508"/>
      <c r="P59" s="508"/>
      <c r="Q59" s="489"/>
      <c r="R59" s="489"/>
      <c r="S59" s="489"/>
      <c r="T59" s="422"/>
      <c r="U59" s="422"/>
    </row>
    <row r="60" spans="1:21" x14ac:dyDescent="0.25">
      <c r="A60" s="450" t="s">
        <v>77</v>
      </c>
      <c r="B60" s="452">
        <f>+CEM!O130</f>
        <v>511920.50308650418</v>
      </c>
      <c r="C60" s="496">
        <f>+C59*C58</f>
        <v>7662.2273119455213</v>
      </c>
      <c r="D60" s="497">
        <f>+D59*D58</f>
        <v>246844.67974924104</v>
      </c>
      <c r="E60" s="497">
        <f>+E59*E58</f>
        <v>71516.995341803675</v>
      </c>
      <c r="F60" s="497">
        <f>+F59*F58</f>
        <v>122547.4772647598</v>
      </c>
      <c r="G60" s="483"/>
      <c r="H60" s="483"/>
      <c r="I60" s="495"/>
      <c r="J60" s="495"/>
      <c r="K60" s="495"/>
      <c r="L60" s="495"/>
      <c r="M60" s="495"/>
      <c r="N60" s="495"/>
      <c r="O60" s="504"/>
      <c r="P60" s="495"/>
      <c r="Q60" s="519"/>
    </row>
    <row r="61" spans="1:21" hidden="1" x14ac:dyDescent="0.25">
      <c r="A61" s="453"/>
      <c r="B61" s="454"/>
      <c r="C61" s="495"/>
      <c r="D61" s="495"/>
      <c r="E61" s="495"/>
      <c r="F61" s="495"/>
      <c r="G61" s="495"/>
      <c r="H61" s="495"/>
      <c r="I61" s="495"/>
      <c r="J61" s="495"/>
      <c r="K61" s="495"/>
      <c r="L61" s="495"/>
      <c r="M61" s="495"/>
      <c r="N61" s="495"/>
      <c r="O61" s="495"/>
      <c r="P61" s="495"/>
    </row>
    <row r="62" spans="1:21" s="412" customFormat="1" hidden="1" x14ac:dyDescent="0.25">
      <c r="A62" s="455"/>
      <c r="B62" s="456"/>
      <c r="C62" s="500" t="str">
        <f>+MDC!B5</f>
        <v>V0184</v>
      </c>
      <c r="D62" s="501" t="str">
        <f>+MDC!B20</f>
        <v>V0185</v>
      </c>
      <c r="E62" s="501" t="str">
        <f>+MDC!B27</f>
        <v>V0186</v>
      </c>
      <c r="F62" s="501" t="str">
        <f>+MDC!B32</f>
        <v>V0187</v>
      </c>
      <c r="G62" s="501" t="str">
        <f>+MDC!B37</f>
        <v>V0188</v>
      </c>
      <c r="H62" s="501" t="str">
        <f>+MDC!B42</f>
        <v>V0189</v>
      </c>
      <c r="I62" s="501" t="str">
        <f>+MDC!B48</f>
        <v>V0143</v>
      </c>
      <c r="J62" s="501" t="str">
        <f>+MDC!B54</f>
        <v>V0144</v>
      </c>
      <c r="K62" s="501" t="str">
        <f>+MDC!B60</f>
        <v>V0145</v>
      </c>
      <c r="L62" s="501" t="str">
        <f>+MDC!B75</f>
        <v>V0148</v>
      </c>
      <c r="M62" s="501" t="str">
        <f>+MDC!B81</f>
        <v>V0149</v>
      </c>
      <c r="N62" s="506"/>
      <c r="O62" s="506"/>
      <c r="P62" s="506"/>
      <c r="Q62" s="505"/>
      <c r="R62" s="505"/>
      <c r="S62" s="505"/>
      <c r="T62" s="432"/>
      <c r="U62" s="432"/>
    </row>
    <row r="63" spans="1:21" s="439" customFormat="1" hidden="1" x14ac:dyDescent="0.25">
      <c r="A63" s="462"/>
      <c r="B63" s="463"/>
      <c r="C63" s="496">
        <f>+MDC!Q18</f>
        <v>5.2729167617090971</v>
      </c>
      <c r="D63" s="497">
        <f>+MDC!Q25</f>
        <v>6.3398167686392073</v>
      </c>
      <c r="E63" s="497">
        <f>+MDC!Q30</f>
        <v>15.855526889515193</v>
      </c>
      <c r="F63" s="497">
        <f>+MDC!Q35</f>
        <v>23.020360632461404</v>
      </c>
      <c r="G63" s="497">
        <f>+MDC!Q40</f>
        <v>18.175848743709263</v>
      </c>
      <c r="H63" s="497">
        <f>+MDC!Q45</f>
        <v>16.036521869065165</v>
      </c>
      <c r="I63" s="497">
        <f>+MDC!Q52</f>
        <v>188.26608255208458</v>
      </c>
      <c r="J63" s="497">
        <f>+MDC!Q58</f>
        <v>46.828707586181743</v>
      </c>
      <c r="K63" s="497">
        <f>+MDC!Q64</f>
        <v>18.620001289553592</v>
      </c>
      <c r="L63" s="497">
        <f>+MDC!Q79</f>
        <v>8.7498555482639304</v>
      </c>
      <c r="M63" s="497">
        <f>+MDC!Q85</f>
        <v>21.497156788867695</v>
      </c>
      <c r="N63" s="520"/>
      <c r="O63" s="520"/>
      <c r="P63" s="520"/>
      <c r="Q63" s="521"/>
      <c r="R63" s="521"/>
      <c r="S63" s="521"/>
      <c r="T63" s="440"/>
      <c r="U63" s="440"/>
    </row>
    <row r="64" spans="1:21" s="441" customFormat="1" hidden="1" x14ac:dyDescent="0.25">
      <c r="A64" s="464"/>
      <c r="B64" s="465">
        <f>+C64+D64+E64+F64+G64+H64+I64+J64+K64+L64+M64</f>
        <v>441600</v>
      </c>
      <c r="C64" s="522">
        <f>+C66+C68+C70</f>
        <v>216000</v>
      </c>
      <c r="D64" s="523">
        <f t="shared" ref="D64:K64" si="12">+D66+D68+D70</f>
        <v>45000</v>
      </c>
      <c r="E64" s="523">
        <f t="shared" si="12"/>
        <v>15000</v>
      </c>
      <c r="F64" s="523">
        <f t="shared" si="12"/>
        <v>15000</v>
      </c>
      <c r="G64" s="523">
        <f t="shared" si="12"/>
        <v>25000</v>
      </c>
      <c r="H64" s="523">
        <f t="shared" si="12"/>
        <v>35000</v>
      </c>
      <c r="I64" s="523">
        <f t="shared" si="12"/>
        <v>300</v>
      </c>
      <c r="J64" s="523">
        <f t="shared" si="12"/>
        <v>300</v>
      </c>
      <c r="K64" s="523">
        <f t="shared" si="12"/>
        <v>25000</v>
      </c>
      <c r="L64" s="523">
        <f>+L66+L68+L70</f>
        <v>35000</v>
      </c>
      <c r="M64" s="523">
        <f>+M66+M68+M70</f>
        <v>30000</v>
      </c>
      <c r="N64" s="524"/>
      <c r="O64" s="524"/>
      <c r="P64" s="524"/>
      <c r="Q64" s="525"/>
      <c r="R64" s="525"/>
      <c r="S64" s="525"/>
      <c r="T64" s="442"/>
      <c r="U64" s="442"/>
    </row>
    <row r="65" spans="1:47" s="443" customFormat="1" hidden="1" x14ac:dyDescent="0.25">
      <c r="A65" s="464" t="s">
        <v>81</v>
      </c>
      <c r="B65" s="465">
        <f>+C65+D65+E65+F65+G65+H65+I65+J65+K65+L65+M65</f>
        <v>4510242.6890931791</v>
      </c>
      <c r="C65" s="526">
        <f>+C67+C69+C71</f>
        <v>1138950.0205291649</v>
      </c>
      <c r="D65" s="527">
        <f t="shared" ref="D65:K65" si="13">+D67+D69+D71</f>
        <v>285291.75458876434</v>
      </c>
      <c r="E65" s="527">
        <f t="shared" si="13"/>
        <v>237832.90334272789</v>
      </c>
      <c r="F65" s="527">
        <f t="shared" si="13"/>
        <v>345305.40948692104</v>
      </c>
      <c r="G65" s="527">
        <f t="shared" si="13"/>
        <v>454396.21859273157</v>
      </c>
      <c r="H65" s="527">
        <f t="shared" si="13"/>
        <v>561278.26541728084</v>
      </c>
      <c r="I65" s="527">
        <f t="shared" si="13"/>
        <v>56479.824765625373</v>
      </c>
      <c r="J65" s="527">
        <f t="shared" si="13"/>
        <v>14048.612275854523</v>
      </c>
      <c r="K65" s="527">
        <f t="shared" si="13"/>
        <v>465500.03223883978</v>
      </c>
      <c r="L65" s="527">
        <f>+L67+L69+L71</f>
        <v>306244.94418923755</v>
      </c>
      <c r="M65" s="527">
        <f>+M67+M69+M71</f>
        <v>644914.70366603089</v>
      </c>
      <c r="N65" s="528"/>
      <c r="O65" s="528"/>
      <c r="P65" s="528"/>
      <c r="Q65" s="529"/>
      <c r="R65" s="529"/>
      <c r="S65" s="529"/>
      <c r="T65" s="444"/>
      <c r="U65" s="444"/>
    </row>
    <row r="66" spans="1:47" s="433" customFormat="1" hidden="1" x14ac:dyDescent="0.25">
      <c r="A66" s="450"/>
      <c r="B66" s="451">
        <f t="shared" ref="B66:B71" si="14">+C66+D66+E66+F66+G66+H66+I66+J66+K66+L66+M66</f>
        <v>293300</v>
      </c>
      <c r="C66" s="498">
        <f>+MDC!D7+MDC!D8+MDC!D9+MDC!D13+MDC!D14+MDC!D15</f>
        <v>128000</v>
      </c>
      <c r="D66" s="499">
        <f>+MDC!D25</f>
        <v>45000</v>
      </c>
      <c r="E66" s="499">
        <f>+MDC!D30</f>
        <v>15000</v>
      </c>
      <c r="F66" s="499">
        <f>+MDC!D35</f>
        <v>15000</v>
      </c>
      <c r="G66" s="499"/>
      <c r="H66" s="499">
        <f>+MDC!D45</f>
        <v>35000</v>
      </c>
      <c r="I66" s="499">
        <f>+MDC!D52</f>
        <v>300</v>
      </c>
      <c r="J66" s="499"/>
      <c r="K66" s="499">
        <f>+MDC!D64</f>
        <v>25000</v>
      </c>
      <c r="L66" s="499"/>
      <c r="M66" s="499">
        <f>+MDC!D85</f>
        <v>30000</v>
      </c>
      <c r="N66" s="508"/>
      <c r="O66" s="508"/>
      <c r="P66" s="508"/>
      <c r="Q66" s="489"/>
      <c r="R66" s="489"/>
      <c r="S66" s="489"/>
      <c r="T66" s="422"/>
      <c r="U66" s="422"/>
    </row>
    <row r="67" spans="1:47" x14ac:dyDescent="0.25">
      <c r="A67" s="450" t="s">
        <v>78</v>
      </c>
      <c r="B67" s="452">
        <f t="shared" si="14"/>
        <v>3271536.2390049547</v>
      </c>
      <c r="C67" s="496">
        <f>+C66*C63</f>
        <v>674933.34549876442</v>
      </c>
      <c r="D67" s="497">
        <f>+D66*D63</f>
        <v>285291.75458876434</v>
      </c>
      <c r="E67" s="497">
        <f>+E66*E63</f>
        <v>237832.90334272789</v>
      </c>
      <c r="F67" s="497">
        <f>+F66*F63</f>
        <v>345305.40948692104</v>
      </c>
      <c r="G67" s="497"/>
      <c r="H67" s="497">
        <f>+H66*H63</f>
        <v>561278.26541728084</v>
      </c>
      <c r="I67" s="497">
        <f>+I66*I63</f>
        <v>56479.824765625373</v>
      </c>
      <c r="J67" s="497"/>
      <c r="K67" s="497">
        <f>+K66*K63</f>
        <v>465500.03223883978</v>
      </c>
      <c r="L67" s="497">
        <f>+L66*L63</f>
        <v>0</v>
      </c>
      <c r="M67" s="497">
        <f>+M66*M63</f>
        <v>644914.70366603089</v>
      </c>
      <c r="N67" s="495"/>
      <c r="O67" s="495"/>
      <c r="P67" s="495"/>
    </row>
    <row r="68" spans="1:47" s="433" customFormat="1" hidden="1" x14ac:dyDescent="0.25">
      <c r="A68" s="450"/>
      <c r="B68" s="451">
        <f>+C68+D68+E68+F68+G68+H68+I68+J68+K68+L68+M68</f>
        <v>60000</v>
      </c>
      <c r="C68" s="498">
        <f>+MDC!D9+MDC!D10</f>
        <v>60000</v>
      </c>
      <c r="D68" s="499"/>
      <c r="E68" s="499"/>
      <c r="F68" s="499"/>
      <c r="G68" s="499"/>
      <c r="H68" s="499"/>
      <c r="I68" s="499"/>
      <c r="J68" s="499"/>
      <c r="K68" s="499"/>
      <c r="L68" s="499"/>
      <c r="M68" s="499"/>
      <c r="N68" s="508"/>
      <c r="O68" s="508"/>
      <c r="P68" s="508"/>
      <c r="Q68" s="489"/>
      <c r="R68" s="489"/>
      <c r="S68" s="489"/>
      <c r="T68" s="422"/>
      <c r="U68" s="422"/>
    </row>
    <row r="69" spans="1:47" x14ac:dyDescent="0.25">
      <c r="A69" s="450" t="s">
        <v>79</v>
      </c>
      <c r="B69" s="452">
        <f>+C69+D69+E69+F69+G69+H69+I69+J69+K69+L69+M69</f>
        <v>316375.00570254581</v>
      </c>
      <c r="C69" s="496">
        <f>+C68*C63</f>
        <v>316375.00570254581</v>
      </c>
      <c r="D69" s="497">
        <f t="shared" ref="D69:M69" si="15">+D68*D63</f>
        <v>0</v>
      </c>
      <c r="E69" s="497">
        <f t="shared" si="15"/>
        <v>0</v>
      </c>
      <c r="F69" s="497">
        <f t="shared" si="15"/>
        <v>0</v>
      </c>
      <c r="G69" s="497">
        <f t="shared" si="15"/>
        <v>0</v>
      </c>
      <c r="H69" s="497">
        <f t="shared" si="15"/>
        <v>0</v>
      </c>
      <c r="I69" s="497">
        <f t="shared" si="15"/>
        <v>0</v>
      </c>
      <c r="J69" s="497">
        <f t="shared" si="15"/>
        <v>0</v>
      </c>
      <c r="K69" s="497">
        <f t="shared" si="15"/>
        <v>0</v>
      </c>
      <c r="L69" s="497">
        <f t="shared" si="15"/>
        <v>0</v>
      </c>
      <c r="M69" s="497">
        <f t="shared" si="15"/>
        <v>0</v>
      </c>
      <c r="N69" s="495"/>
      <c r="O69" s="495"/>
      <c r="P69" s="495"/>
    </row>
    <row r="70" spans="1:47" s="433" customFormat="1" hidden="1" x14ac:dyDescent="0.25">
      <c r="A70" s="450"/>
      <c r="B70" s="451">
        <f>+C70+D70+E70+F70+G70+H70+I70+J70+K70+L70+M70</f>
        <v>88300</v>
      </c>
      <c r="C70" s="498">
        <f>+MDC!D12+MDC!D13</f>
        <v>28000</v>
      </c>
      <c r="D70" s="499"/>
      <c r="E70" s="499"/>
      <c r="F70" s="499"/>
      <c r="G70" s="499">
        <f>+MDC!D40</f>
        <v>25000</v>
      </c>
      <c r="H70" s="499"/>
      <c r="I70" s="499"/>
      <c r="J70" s="499">
        <f>+MDC!D58</f>
        <v>300</v>
      </c>
      <c r="K70" s="499"/>
      <c r="L70" s="499">
        <f>+MDC!D79</f>
        <v>35000</v>
      </c>
      <c r="M70" s="499"/>
      <c r="N70" s="508"/>
      <c r="O70" s="508"/>
      <c r="P70" s="508"/>
      <c r="Q70" s="489"/>
      <c r="R70" s="489"/>
      <c r="S70" s="489"/>
      <c r="T70" s="422"/>
      <c r="U70" s="422"/>
    </row>
    <row r="71" spans="1:47" ht="16.5" thickBot="1" x14ac:dyDescent="0.3">
      <c r="A71" s="466" t="s">
        <v>80</v>
      </c>
      <c r="B71" s="467">
        <f t="shared" si="14"/>
        <v>922331.44438567839</v>
      </c>
      <c r="C71" s="496">
        <f>+C70*C63</f>
        <v>147641.66932785473</v>
      </c>
      <c r="D71" s="497">
        <f t="shared" ref="D71:M71" si="16">+D70*D63</f>
        <v>0</v>
      </c>
      <c r="E71" s="497">
        <f t="shared" si="16"/>
        <v>0</v>
      </c>
      <c r="F71" s="497">
        <f t="shared" si="16"/>
        <v>0</v>
      </c>
      <c r="G71" s="497">
        <f t="shared" si="16"/>
        <v>454396.21859273157</v>
      </c>
      <c r="H71" s="497">
        <f t="shared" si="16"/>
        <v>0</v>
      </c>
      <c r="I71" s="497">
        <f t="shared" si="16"/>
        <v>0</v>
      </c>
      <c r="J71" s="497">
        <f t="shared" si="16"/>
        <v>14048.612275854523</v>
      </c>
      <c r="K71" s="497">
        <f t="shared" si="16"/>
        <v>0</v>
      </c>
      <c r="L71" s="497">
        <f t="shared" si="16"/>
        <v>306244.94418923755</v>
      </c>
      <c r="M71" s="497">
        <f t="shared" si="16"/>
        <v>0</v>
      </c>
      <c r="N71" s="495"/>
      <c r="O71" s="495"/>
      <c r="P71" s="495"/>
    </row>
    <row r="72" spans="1:47" s="428" customFormat="1" ht="16.5" thickBot="1" x14ac:dyDescent="0.3">
      <c r="A72" s="417"/>
      <c r="B72" s="427"/>
      <c r="C72" s="493"/>
      <c r="D72" s="493"/>
      <c r="E72" s="493"/>
      <c r="F72" s="493"/>
      <c r="G72" s="493"/>
      <c r="H72" s="493"/>
      <c r="I72" s="493"/>
      <c r="J72" s="493"/>
      <c r="K72" s="493"/>
      <c r="L72" s="493"/>
      <c r="M72" s="495"/>
      <c r="N72" s="495"/>
      <c r="O72" s="495"/>
      <c r="P72" s="495"/>
      <c r="Q72" s="483"/>
      <c r="R72" s="483"/>
      <c r="S72" s="483"/>
      <c r="T72" s="414"/>
      <c r="U72" s="414"/>
    </row>
    <row r="73" spans="1:47" x14ac:dyDescent="0.25">
      <c r="A73" s="468" t="s">
        <v>82</v>
      </c>
      <c r="B73" s="469">
        <f>+B6+B17+B22+B24+B29+B35+B46+B55+B60</f>
        <v>22763684.306838196</v>
      </c>
      <c r="C73" s="530"/>
      <c r="D73" s="495"/>
      <c r="E73" s="504"/>
      <c r="F73" s="495"/>
      <c r="G73" s="495"/>
      <c r="H73" s="495"/>
      <c r="I73" s="495"/>
      <c r="J73" s="495"/>
      <c r="K73" s="495"/>
      <c r="L73" s="495"/>
      <c r="M73" s="495"/>
      <c r="N73" s="495"/>
      <c r="O73" s="495"/>
      <c r="P73" s="495"/>
      <c r="T73" s="427"/>
      <c r="X73" s="413" t="s">
        <v>82</v>
      </c>
      <c r="Y73" s="541">
        <v>25419072.447204184</v>
      </c>
      <c r="Z73" s="541"/>
      <c r="AA73" s="541">
        <f>Y73*1.06</f>
        <v>26944216.794036437</v>
      </c>
      <c r="AB73" s="541"/>
      <c r="AU73" s="413">
        <v>26944216.794036437</v>
      </c>
    </row>
    <row r="74" spans="1:47" x14ac:dyDescent="0.25">
      <c r="A74" s="470" t="s">
        <v>83</v>
      </c>
      <c r="B74" s="471">
        <f>+B65</f>
        <v>4510242.6890931791</v>
      </c>
      <c r="C74" s="483"/>
      <c r="D74" s="502">
        <f>1232205+157063+345596+6586391+5585610+8695689</f>
        <v>22602554</v>
      </c>
      <c r="E74" s="502"/>
      <c r="F74" s="495"/>
      <c r="G74" s="495">
        <f>CEM!O143</f>
        <v>4510242.6890931781</v>
      </c>
      <c r="H74" s="495"/>
      <c r="I74" s="495"/>
      <c r="J74" s="495"/>
      <c r="K74" s="495"/>
      <c r="L74" s="495"/>
      <c r="M74" s="495"/>
      <c r="N74" s="495"/>
      <c r="O74" s="495"/>
      <c r="P74" s="495"/>
      <c r="T74" s="427"/>
      <c r="X74" s="413" t="s">
        <v>83</v>
      </c>
      <c r="Y74" s="541">
        <v>4533523.8307336112</v>
      </c>
      <c r="Z74" s="541"/>
      <c r="AA74" s="541">
        <f>Y74*1.06</f>
        <v>4805535.2605776284</v>
      </c>
      <c r="AB74" s="541"/>
      <c r="AU74" s="413">
        <v>4805535.2605776284</v>
      </c>
    </row>
    <row r="75" spans="1:47" x14ac:dyDescent="0.25">
      <c r="A75" s="470"/>
      <c r="B75" s="471"/>
      <c r="C75" s="495"/>
      <c r="D75" s="495"/>
      <c r="E75" s="495"/>
      <c r="F75" s="495"/>
      <c r="G75" s="495"/>
      <c r="H75" s="495"/>
      <c r="I75" s="495"/>
      <c r="J75" s="495"/>
      <c r="K75" s="495"/>
      <c r="L75" s="495"/>
      <c r="M75" s="495"/>
      <c r="N75" s="495"/>
      <c r="O75" s="495"/>
      <c r="P75" s="495"/>
      <c r="T75" s="427">
        <v>26361478.780000001</v>
      </c>
      <c r="Y75" s="541"/>
      <c r="Z75" s="541"/>
      <c r="AA75" s="541"/>
      <c r="AB75" s="541"/>
      <c r="AQ75" s="413">
        <v>26361478.780000001</v>
      </c>
    </row>
    <row r="76" spans="1:47" ht="16.5" thickBot="1" x14ac:dyDescent="0.3">
      <c r="A76" s="472" t="s">
        <v>84</v>
      </c>
      <c r="B76" s="473">
        <f>SUM(B73:B75)</f>
        <v>27273926.995931376</v>
      </c>
      <c r="C76" s="507">
        <v>26176165</v>
      </c>
      <c r="D76" s="495"/>
      <c r="E76" s="531"/>
      <c r="F76" s="495">
        <f>CEM!O145</f>
        <v>27273926.995931379</v>
      </c>
      <c r="G76" s="531">
        <f>B76-F76</f>
        <v>0</v>
      </c>
      <c r="H76" s="495"/>
      <c r="I76" s="495"/>
      <c r="J76" s="495"/>
      <c r="K76" s="495"/>
      <c r="L76" s="495"/>
      <c r="M76" s="495"/>
      <c r="N76" s="495"/>
      <c r="O76" s="495"/>
      <c r="P76" s="495"/>
      <c r="T76" s="427">
        <f>26361478.78*4.5%</f>
        <v>1186266.5451</v>
      </c>
      <c r="V76" s="539">
        <f>+B76*5%</f>
        <v>1363696.349796569</v>
      </c>
      <c r="X76" s="413" t="s">
        <v>84</v>
      </c>
      <c r="Y76" s="541">
        <v>29952596.277937796</v>
      </c>
      <c r="Z76" s="541">
        <v>26176165</v>
      </c>
      <c r="AA76" s="541">
        <f>SUM(AA73:AA74)</f>
        <v>31749752.054614067</v>
      </c>
      <c r="AB76" s="541">
        <f>CEM!O145</f>
        <v>27273926.995931379</v>
      </c>
      <c r="AQ76" s="413">
        <v>1186266.5451</v>
      </c>
      <c r="AS76" s="413">
        <v>1497629.8138968898</v>
      </c>
      <c r="AU76" s="413">
        <v>31749752.054614067</v>
      </c>
    </row>
    <row r="77" spans="1:47" x14ac:dyDescent="0.25">
      <c r="A77" s="445"/>
      <c r="B77" s="540">
        <f>+B76</f>
        <v>27273926.995931376</v>
      </c>
      <c r="C77" s="507">
        <f>+C76-B76</f>
        <v>-1097761.9959313758</v>
      </c>
      <c r="D77" s="495"/>
      <c r="E77" s="495"/>
      <c r="F77" s="495"/>
      <c r="G77" s="495"/>
      <c r="H77" s="495"/>
      <c r="I77" s="495"/>
      <c r="J77" s="495"/>
      <c r="K77" s="495"/>
      <c r="L77" s="495"/>
      <c r="M77" s="495"/>
      <c r="N77" s="495"/>
      <c r="O77" s="495"/>
      <c r="P77" s="495"/>
      <c r="T77" s="427">
        <f>SUM(T75:T76)</f>
        <v>27547745.325100001</v>
      </c>
      <c r="V77" s="539">
        <f>26176165.5+1308808.27</f>
        <v>27484973.77</v>
      </c>
      <c r="Y77" s="541">
        <v>29952596.277937796</v>
      </c>
      <c r="Z77" s="541">
        <v>-3776431.277937796</v>
      </c>
      <c r="AA77" s="541"/>
      <c r="AB77" s="541">
        <f>AA76-AB76</f>
        <v>4475825.0586826876</v>
      </c>
      <c r="AQ77" s="413">
        <v>27547745.325100001</v>
      </c>
      <c r="AS77" s="413">
        <v>27484973.77</v>
      </c>
    </row>
    <row r="78" spans="1:47" x14ac:dyDescent="0.25">
      <c r="B78" s="431">
        <f>+V77</f>
        <v>27484973.77</v>
      </c>
      <c r="C78" s="532"/>
      <c r="T78" s="427"/>
      <c r="Y78" s="541">
        <v>27484973.77</v>
      </c>
      <c r="Z78" s="541"/>
      <c r="AA78" s="541"/>
      <c r="AB78" s="541"/>
    </row>
    <row r="79" spans="1:47" x14ac:dyDescent="0.25">
      <c r="B79" s="431">
        <f>+B78-B77</f>
        <v>211046.77406862378</v>
      </c>
      <c r="T79" s="427">
        <f>+T77-B76</f>
        <v>273818.32916862518</v>
      </c>
      <c r="Y79" s="541">
        <v>-2467622.5079377964</v>
      </c>
      <c r="Z79" s="541"/>
      <c r="AA79" s="541"/>
      <c r="AB79" s="541"/>
      <c r="AQ79" s="413">
        <v>-2404850.952837795</v>
      </c>
    </row>
    <row r="80" spans="1:47" x14ac:dyDescent="0.25">
      <c r="B80" s="431"/>
    </row>
  </sheetData>
  <customSheetViews>
    <customSheetView guid="{85BAD813-6002-444C-94EE-85A3EFC799A5}" showPageBreaks="1" printArea="1" hiddenRows="1" hiddenColumns="1">
      <selection activeCell="A2" sqref="A2"/>
      <pageMargins left="0" right="0" top="0" bottom="0" header="0.31496062992125984" footer="0.31496062992125984"/>
      <pageSetup paperSize="9" scale="85" orientation="landscape" r:id="rId1"/>
      <headerFooter alignWithMargins="0"/>
    </customSheetView>
    <customSheetView guid="{DF69299D-7752-4436-A45D-28F739CEE21B}" showPageBreaks="1" printArea="1" hiddenRows="1" hiddenColumns="1" topLeftCell="A17">
      <selection activeCell="B73" sqref="B73"/>
      <pageMargins left="0" right="0" top="0" bottom="0" header="0.31496062992125984" footer="0.31496062992125984"/>
      <pageSetup paperSize="9" scale="85" orientation="landscape" r:id="rId2"/>
      <headerFooter alignWithMargins="0"/>
    </customSheetView>
    <customSheetView guid="{6C0BD6A7-6718-429D-82D9-D2FE0341EA2C}" showPageBreaks="1" printArea="1" hiddenRows="1" hiddenColumns="1" topLeftCell="A39">
      <selection activeCell="A74" sqref="A74"/>
      <pageMargins left="0" right="0" top="0" bottom="0" header="0.31496062992125984" footer="0.31496062992125984"/>
      <pageSetup paperSize="8" scale="85" orientation="landscape" r:id="rId3"/>
      <headerFooter alignWithMargins="0"/>
    </customSheetView>
    <customSheetView guid="{594C4AB0-8D5F-4373-9663-410F4413FE3A}" showPageBreaks="1" printArea="1" hiddenRows="1" hiddenColumns="1">
      <selection activeCell="W39" sqref="W39"/>
      <pageMargins left="0" right="0" top="0" bottom="0" header="0.31496062992125984" footer="0.31496062992125984"/>
      <pageSetup paperSize="8" scale="85" orientation="landscape" r:id="rId4"/>
      <headerFooter alignWithMargins="0"/>
    </customSheetView>
  </customSheetViews>
  <phoneticPr fontId="0" type="noConversion"/>
  <pageMargins left="0" right="0" top="0" bottom="0" header="0.31496062992125984" footer="0.31496062992125984"/>
  <pageSetup paperSize="9" scale="85" orientation="landscape" r:id="rId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G28"/>
  <sheetViews>
    <sheetView workbookViewId="0">
      <selection activeCell="A5" sqref="A5"/>
    </sheetView>
  </sheetViews>
  <sheetFormatPr defaultColWidth="9.140625" defaultRowHeight="11.25" x14ac:dyDescent="0.2"/>
  <cols>
    <col min="1" max="1" width="20.28515625" style="2" bestFit="1" customWidth="1"/>
    <col min="2" max="2" width="11.7109375" style="15" bestFit="1" customWidth="1"/>
    <col min="3" max="3" width="12.42578125" style="15" bestFit="1" customWidth="1"/>
    <col min="4" max="5" width="9.140625" style="15"/>
    <col min="6" max="6" width="14" style="15" bestFit="1" customWidth="1"/>
    <col min="7" max="16384" width="9.140625" style="2"/>
  </cols>
  <sheetData>
    <row r="1" spans="1:6" x14ac:dyDescent="0.2">
      <c r="A1" s="1" t="s">
        <v>1495</v>
      </c>
    </row>
    <row r="2" spans="1:6" x14ac:dyDescent="0.2">
      <c r="A2" s="59">
        <v>-0.27500000000000002</v>
      </c>
    </row>
    <row r="3" spans="1:6" x14ac:dyDescent="0.2">
      <c r="A3" s="59"/>
    </row>
    <row r="4" spans="1:6" x14ac:dyDescent="0.2">
      <c r="A4" s="15">
        <v>16</v>
      </c>
    </row>
    <row r="6" spans="1:6" x14ac:dyDescent="0.2">
      <c r="A6" s="15">
        <v>1000000</v>
      </c>
      <c r="B6" s="15">
        <v>692568.67</v>
      </c>
    </row>
    <row r="8" spans="1:6" x14ac:dyDescent="0.2">
      <c r="A8" s="60">
        <f>+CEM!M145</f>
        <v>26278004.853654314</v>
      </c>
      <c r="F8" s="15">
        <v>28863677.079358432</v>
      </c>
    </row>
    <row r="9" spans="1:6" x14ac:dyDescent="0.2">
      <c r="A9" s="65"/>
    </row>
    <row r="10" spans="1:6" x14ac:dyDescent="0.2">
      <c r="A10" s="65"/>
    </row>
    <row r="11" spans="1:6" x14ac:dyDescent="0.2">
      <c r="A11" s="65">
        <v>24467288.18</v>
      </c>
      <c r="B11" s="15">
        <v>4.4999999999999998E-2</v>
      </c>
    </row>
    <row r="12" spans="1:6" x14ac:dyDescent="0.2">
      <c r="A12" s="9"/>
    </row>
    <row r="13" spans="1:6" x14ac:dyDescent="0.2">
      <c r="A13" s="9"/>
    </row>
    <row r="18" spans="2:7" x14ac:dyDescent="0.2">
      <c r="C18" s="533">
        <v>0.05</v>
      </c>
    </row>
    <row r="19" spans="2:7" x14ac:dyDescent="0.2">
      <c r="B19" s="15">
        <v>738</v>
      </c>
      <c r="C19" s="15">
        <f>+B19*C18</f>
        <v>36.9</v>
      </c>
      <c r="D19" s="15">
        <f>+C19+B19</f>
        <v>774.9</v>
      </c>
    </row>
    <row r="20" spans="2:7" x14ac:dyDescent="0.2">
      <c r="B20" s="15">
        <v>738</v>
      </c>
    </row>
    <row r="24" spans="2:7" x14ac:dyDescent="0.2">
      <c r="G24" s="2">
        <v>3101</v>
      </c>
    </row>
    <row r="25" spans="2:7" x14ac:dyDescent="0.2">
      <c r="G25" s="2">
        <v>7.16</v>
      </c>
    </row>
    <row r="26" spans="2:7" x14ac:dyDescent="0.2">
      <c r="G26" s="2">
        <v>5.5</v>
      </c>
    </row>
    <row r="27" spans="2:7" x14ac:dyDescent="0.2">
      <c r="G27" s="2">
        <f>+G24/G25</f>
        <v>433.10055865921788</v>
      </c>
    </row>
    <row r="28" spans="2:7" x14ac:dyDescent="0.2">
      <c r="G28" s="2">
        <f>+G27*12.8</f>
        <v>5543.6871508379891</v>
      </c>
    </row>
  </sheetData>
  <customSheetViews>
    <customSheetView guid="{85BAD813-6002-444C-94EE-85A3EFC799A5}">
      <selection activeCell="A5" sqref="A5"/>
      <pageMargins left="0.75" right="0.75" top="1" bottom="1" header="0.5" footer="0.5"/>
      <pageSetup paperSize="9" orientation="portrait" r:id="rId1"/>
      <headerFooter alignWithMargins="0"/>
    </customSheetView>
    <customSheetView guid="{DF69299D-7752-4436-A45D-28F739CEE21B}">
      <selection activeCell="C18" sqref="C18"/>
      <pageMargins left="0.75" right="0.75" top="1" bottom="1" header="0.5" footer="0.5"/>
      <pageSetup paperSize="9" orientation="portrait" r:id="rId2"/>
      <headerFooter alignWithMargins="0"/>
    </customSheetView>
    <customSheetView guid="{6C0BD6A7-6718-429D-82D9-D2FE0341EA2C}">
      <selection activeCell="A5" sqref="A5"/>
      <pageMargins left="0.75" right="0.75" top="1" bottom="1" header="0.5" footer="0.5"/>
      <pageSetup paperSize="9" orientation="portrait" r:id="rId3"/>
      <headerFooter alignWithMargins="0"/>
    </customSheetView>
    <customSheetView guid="{594C4AB0-8D5F-4373-9663-410F4413FE3A}" showPageBreaks="1">
      <selection activeCell="A5" sqref="A5"/>
      <pageMargins left="0.75" right="0.75" top="1" bottom="1" header="0.5" footer="0.5"/>
      <pageSetup paperSize="9" orientation="portrait" r:id="rId4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8</vt:i4>
      </vt:variant>
    </vt:vector>
  </HeadingPairs>
  <TitlesOfParts>
    <vt:vector size="23" baseType="lpstr">
      <vt:lpstr>mayor</vt:lpstr>
      <vt:lpstr>income</vt:lpstr>
      <vt:lpstr>workshop</vt:lpstr>
      <vt:lpstr>COMMUNITY SERV</vt:lpstr>
      <vt:lpstr>EEM</vt:lpstr>
      <vt:lpstr>CEM</vt:lpstr>
      <vt:lpstr>MDC</vt:lpstr>
      <vt:lpstr>BUDGET</vt:lpstr>
      <vt:lpstr>CALC</vt:lpstr>
      <vt:lpstr>orig</vt:lpstr>
      <vt:lpstr>1-10</vt:lpstr>
      <vt:lpstr>new veh 2012</vt:lpstr>
      <vt:lpstr>Sheet1</vt:lpstr>
      <vt:lpstr>stbk</vt:lpstr>
      <vt:lpstr>Sheet2</vt:lpstr>
      <vt:lpstr>BUDGET!Print_Area</vt:lpstr>
      <vt:lpstr>CEM!Print_Area</vt:lpstr>
      <vt:lpstr>'COMMUNITY SERV'!Print_Area</vt:lpstr>
      <vt:lpstr>EEM!Print_Area</vt:lpstr>
      <vt:lpstr>income!Print_Area</vt:lpstr>
      <vt:lpstr>mayor!Print_Area</vt:lpstr>
      <vt:lpstr>MDC!Print_Area</vt:lpstr>
      <vt:lpstr>workshop!Print_Area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</dc:creator>
  <cp:lastModifiedBy>Johan Biewenga</cp:lastModifiedBy>
  <cp:lastPrinted>2019-03-08T12:13:13Z</cp:lastPrinted>
  <dcterms:created xsi:type="dcterms:W3CDTF">2005-10-06T12:29:26Z</dcterms:created>
  <dcterms:modified xsi:type="dcterms:W3CDTF">2021-02-26T12:35:02Z</dcterms:modified>
</cp:coreProperties>
</file>