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upa.TZANEEN\Desktop\"/>
    </mc:Choice>
  </mc:AlternateContent>
  <workbookProtection workbookPassword="FB84" lockStructure="1"/>
  <bookViews>
    <workbookView xWindow="0" yWindow="0" windowWidth="15360" windowHeight="7755" tabRatio="792" firstSheet="25" activeTab="29"/>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I74" i="323" l="1"/>
  <c r="K19" i="317" l="1"/>
  <c r="F16" i="317"/>
  <c r="G15" i="177" l="1"/>
  <c r="C10" i="177"/>
  <c r="E20" i="317" l="1"/>
  <c r="D20" i="317"/>
  <c r="H146" i="330" l="1"/>
  <c r="H32" i="241" s="1"/>
  <c r="M20" i="317"/>
  <c r="C260" i="324"/>
  <c r="C222" i="324"/>
  <c r="C212" i="324"/>
  <c r="C199" i="324"/>
  <c r="C52" i="333"/>
  <c r="C158" i="333"/>
  <c r="C152" i="333"/>
  <c r="C149" i="333"/>
  <c r="C155" i="333"/>
  <c r="C88" i="333"/>
  <c r="C100" i="333"/>
  <c r="C119" i="333"/>
  <c r="C155" i="325"/>
  <c r="C45" i="268"/>
  <c r="C178" i="330"/>
  <c r="C90" i="330"/>
  <c r="A25" i="238"/>
  <c r="O22" i="238"/>
  <c r="N22" i="238"/>
  <c r="M22" i="238"/>
  <c r="K22" i="238"/>
  <c r="N12" i="238"/>
  <c r="N24" i="238"/>
  <c r="M12" i="238"/>
  <c r="M24" i="238" s="1"/>
  <c r="K12" i="238"/>
  <c r="K24" i="238" s="1"/>
  <c r="O21" i="238"/>
  <c r="O20" i="238"/>
  <c r="O19" i="238"/>
  <c r="O18" i="238"/>
  <c r="O17" i="238"/>
  <c r="O16" i="238"/>
  <c r="O15" i="238"/>
  <c r="O11" i="238"/>
  <c r="O10" i="238"/>
  <c r="O9" i="238"/>
  <c r="O8" i="238"/>
  <c r="O7" i="238"/>
  <c r="O6" i="238"/>
  <c r="O5" i="238"/>
  <c r="O12" i="238" s="1"/>
  <c r="O24" i="238" s="1"/>
  <c r="J7" i="267"/>
  <c r="G7" i="267"/>
  <c r="F7" i="267"/>
  <c r="E7" i="267"/>
  <c r="D7" i="267"/>
  <c r="D11" i="267" s="1"/>
  <c r="C7" i="267"/>
  <c r="B7" i="267"/>
  <c r="K22" i="181"/>
  <c r="H22" i="181"/>
  <c r="G22" i="181"/>
  <c r="F22" i="181"/>
  <c r="E22" i="181"/>
  <c r="D22" i="181"/>
  <c r="C22" i="181"/>
  <c r="Q21" i="317"/>
  <c r="Q33" i="317"/>
  <c r="P21" i="317"/>
  <c r="P33" i="317"/>
  <c r="O21" i="317"/>
  <c r="O33" i="317"/>
  <c r="M21" i="317"/>
  <c r="L21" i="317"/>
  <c r="L33" i="317"/>
  <c r="K21" i="317"/>
  <c r="K33" i="317" s="1"/>
  <c r="K54" i="317" s="1"/>
  <c r="K66" i="317" s="1"/>
  <c r="J21" i="317"/>
  <c r="J33" i="317"/>
  <c r="I21" i="317"/>
  <c r="H21" i="317"/>
  <c r="H33" i="317"/>
  <c r="G21" i="317"/>
  <c r="G33" i="317" s="1"/>
  <c r="F21" i="317"/>
  <c r="F33" i="317" s="1"/>
  <c r="E21" i="317"/>
  <c r="E33" i="317" s="1"/>
  <c r="D21" i="317"/>
  <c r="D33" i="317" s="1"/>
  <c r="D54" i="317" s="1"/>
  <c r="D56" i="317" s="1"/>
  <c r="E55" i="317" s="1"/>
  <c r="C21" i="317"/>
  <c r="C33" i="317"/>
  <c r="G25" i="178"/>
  <c r="G26" i="178"/>
  <c r="F25" i="178"/>
  <c r="E25" i="178"/>
  <c r="D37" i="267"/>
  <c r="D25" i="178"/>
  <c r="C37" i="267"/>
  <c r="C25" i="178"/>
  <c r="B37" i="267"/>
  <c r="K22" i="182"/>
  <c r="K53" i="182"/>
  <c r="H22" i="182"/>
  <c r="H53" i="182" s="1"/>
  <c r="G22" i="182"/>
  <c r="G55" i="174" s="1"/>
  <c r="F22" i="182"/>
  <c r="E22" i="182"/>
  <c r="E53" i="182" s="1"/>
  <c r="D22" i="182"/>
  <c r="E55" i="174"/>
  <c r="C22" i="182"/>
  <c r="D55" i="174"/>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G8" i="335"/>
  <c r="I8" i="335" s="1"/>
  <c r="J8" i="335" s="1"/>
  <c r="F8" i="335"/>
  <c r="E8" i="335"/>
  <c r="D8" i="335"/>
  <c r="K8" i="333"/>
  <c r="H8" i="333"/>
  <c r="G8" i="333"/>
  <c r="F8" i="333"/>
  <c r="E8" i="333"/>
  <c r="D8" i="333"/>
  <c r="K53" i="325"/>
  <c r="H53" i="325"/>
  <c r="G53" i="325"/>
  <c r="F53" i="325"/>
  <c r="E53" i="325"/>
  <c r="D53" i="325"/>
  <c r="D7" i="325"/>
  <c r="K8" i="325"/>
  <c r="H8" i="325"/>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s="1"/>
  <c r="I141" i="335"/>
  <c r="J141" i="335"/>
  <c r="K140" i="335"/>
  <c r="H140" i="335"/>
  <c r="G140" i="335"/>
  <c r="I140" i="335" s="1"/>
  <c r="J140" i="335" s="1"/>
  <c r="F140" i="335"/>
  <c r="F138" i="335" s="1"/>
  <c r="E140" i="335"/>
  <c r="E138" i="335"/>
  <c r="D140" i="335"/>
  <c r="D138" i="335"/>
  <c r="C140" i="335"/>
  <c r="I139" i="335"/>
  <c r="J139" i="335"/>
  <c r="K138" i="335"/>
  <c r="H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I73" i="335"/>
  <c r="J73" i="335" s="1"/>
  <c r="I72" i="335"/>
  <c r="J72" i="335"/>
  <c r="I71" i="335"/>
  <c r="J71" i="335"/>
  <c r="I70" i="335"/>
  <c r="J70" i="335"/>
  <c r="K69" i="335"/>
  <c r="H69" i="335"/>
  <c r="G69" i="335"/>
  <c r="I69" i="335" s="1"/>
  <c r="J69" i="335" s="1"/>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J24" i="335"/>
  <c r="I24" i="335"/>
  <c r="I23" i="335"/>
  <c r="J23" i="335"/>
  <c r="J22" i="335"/>
  <c r="I22" i="335"/>
  <c r="I21" i="335"/>
  <c r="J21" i="335"/>
  <c r="J20" i="335"/>
  <c r="I20" i="335"/>
  <c r="I19" i="335"/>
  <c r="J19" i="335"/>
  <c r="J18" i="335"/>
  <c r="I18" i="335"/>
  <c r="K17" i="335"/>
  <c r="H17" i="335"/>
  <c r="G17" i="335"/>
  <c r="I17" i="335" s="1"/>
  <c r="J17" i="335" s="1"/>
  <c r="F17" i="335"/>
  <c r="E17" i="335"/>
  <c r="D17" i="335"/>
  <c r="C17" i="335"/>
  <c r="C7" i="335"/>
  <c r="C166" i="335"/>
  <c r="I16" i="335"/>
  <c r="J16" i="335"/>
  <c r="I15" i="335"/>
  <c r="J15" i="335"/>
  <c r="I14" i="335"/>
  <c r="J14" i="335"/>
  <c r="K13" i="335"/>
  <c r="H13" i="335"/>
  <c r="I13" i="335"/>
  <c r="J13" i="335"/>
  <c r="G13" i="335"/>
  <c r="F13" i="335"/>
  <c r="E13" i="335"/>
  <c r="D13" i="335"/>
  <c r="C13" i="335"/>
  <c r="I12" i="335"/>
  <c r="J12" i="335"/>
  <c r="J11" i="335"/>
  <c r="I11" i="335"/>
  <c r="I10" i="335"/>
  <c r="J10" i="335"/>
  <c r="I9" i="335"/>
  <c r="J9" i="335" s="1"/>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C7"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I151" i="325" s="1"/>
  <c r="J151" i="325" s="1"/>
  <c r="G151" i="325"/>
  <c r="F151" i="325"/>
  <c r="E151" i="325"/>
  <c r="E166" i="325" s="1"/>
  <c r="D151" i="325"/>
  <c r="C151" i="325"/>
  <c r="I149" i="325"/>
  <c r="J149" i="325" s="1"/>
  <c r="K148" i="325"/>
  <c r="H148" i="325"/>
  <c r="I148" i="325" s="1"/>
  <c r="J148" i="325" s="1"/>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s="1"/>
  <c r="I122" i="325"/>
  <c r="J122" i="325"/>
  <c r="I121" i="325"/>
  <c r="J121" i="325"/>
  <c r="I120" i="325"/>
  <c r="J120" i="325"/>
  <c r="I119" i="325"/>
  <c r="J119" i="325" s="1"/>
  <c r="K118" i="325"/>
  <c r="K117" i="325"/>
  <c r="H118" i="325"/>
  <c r="G118" i="325"/>
  <c r="G117" i="325" s="1"/>
  <c r="F118" i="325"/>
  <c r="F117" i="325" s="1"/>
  <c r="E118" i="325"/>
  <c r="E117" i="325"/>
  <c r="D118" i="325"/>
  <c r="D117" i="325"/>
  <c r="C118" i="325"/>
  <c r="C117"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s="1"/>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s="1"/>
  <c r="I24" i="325"/>
  <c r="J24" i="325" s="1"/>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s="1"/>
  <c r="K13" i="325"/>
  <c r="H13" i="325"/>
  <c r="G13" i="325"/>
  <c r="F13" i="325"/>
  <c r="E13" i="325"/>
  <c r="E7"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s="1"/>
  <c r="F17" i="242"/>
  <c r="G17" i="242"/>
  <c r="H17" i="242"/>
  <c r="H7" i="242" s="1"/>
  <c r="H166" i="242" s="1"/>
  <c r="K17" i="242"/>
  <c r="I18" i="242"/>
  <c r="J18" i="242"/>
  <c r="I19" i="242"/>
  <c r="J19" i="242"/>
  <c r="I20" i="242"/>
  <c r="J20" i="242"/>
  <c r="I21" i="242"/>
  <c r="J21" i="242"/>
  <c r="I22" i="242"/>
  <c r="J22" i="242"/>
  <c r="I23" i="242"/>
  <c r="J23" i="242"/>
  <c r="I24" i="242"/>
  <c r="J24" i="242" s="1"/>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C7" i="242"/>
  <c r="I10" i="242"/>
  <c r="J10" i="242"/>
  <c r="I9" i="242"/>
  <c r="J9" i="242" s="1"/>
  <c r="I243" i="330"/>
  <c r="J243" i="330"/>
  <c r="A243" i="330"/>
  <c r="A239" i="330"/>
  <c r="K235" i="330"/>
  <c r="K47" i="241"/>
  <c r="H235" i="330"/>
  <c r="H47" i="241" s="1"/>
  <c r="G235" i="330"/>
  <c r="G47" i="241" s="1"/>
  <c r="F235" i="330"/>
  <c r="F47" i="241"/>
  <c r="E235" i="330"/>
  <c r="E47" i="241" s="1"/>
  <c r="D235" i="330"/>
  <c r="D47" i="241"/>
  <c r="C235" i="330"/>
  <c r="C47" i="241"/>
  <c r="I238" i="330"/>
  <c r="J238" i="330" s="1"/>
  <c r="A238" i="330"/>
  <c r="I237" i="330"/>
  <c r="J237" i="330"/>
  <c r="A237" i="330"/>
  <c r="I236" i="330"/>
  <c r="J236" i="330"/>
  <c r="A236" i="330"/>
  <c r="I233" i="330"/>
  <c r="J233" i="330"/>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s="1"/>
  <c r="I204" i="330"/>
  <c r="J204" i="330" s="1"/>
  <c r="I202" i="330"/>
  <c r="J202" i="330" s="1"/>
  <c r="I201" i="330"/>
  <c r="J201" i="330"/>
  <c r="I200" i="330"/>
  <c r="J200" i="330" s="1"/>
  <c r="I206" i="330"/>
  <c r="J206" i="330"/>
  <c r="I205" i="330"/>
  <c r="J205" i="330" s="1"/>
  <c r="I207" i="330"/>
  <c r="J207" i="330"/>
  <c r="I208" i="330"/>
  <c r="J208" i="330"/>
  <c r="A196" i="330"/>
  <c r="A195" i="330"/>
  <c r="A194" i="330"/>
  <c r="A193" i="330"/>
  <c r="A192" i="330"/>
  <c r="A191" i="330"/>
  <c r="A190" i="330"/>
  <c r="I192" i="330"/>
  <c r="J192" i="330" s="1"/>
  <c r="I191" i="330"/>
  <c r="J191" i="330" s="1"/>
  <c r="I194" i="330"/>
  <c r="J194" i="330"/>
  <c r="I193" i="330"/>
  <c r="J193" i="330"/>
  <c r="A188" i="330"/>
  <c r="A187" i="330"/>
  <c r="K186" i="330"/>
  <c r="K37" i="241"/>
  <c r="H186" i="330"/>
  <c r="H37" i="241" s="1"/>
  <c r="G186" i="330"/>
  <c r="F186" i="330"/>
  <c r="F37" i="241" s="1"/>
  <c r="E186" i="330"/>
  <c r="E37" i="241" s="1"/>
  <c r="D186" i="330"/>
  <c r="D37" i="241"/>
  <c r="C186" i="330"/>
  <c r="C37" i="241"/>
  <c r="I188" i="330"/>
  <c r="J188" i="330"/>
  <c r="I187" i="330"/>
  <c r="J187" i="330" s="1"/>
  <c r="A176" i="330"/>
  <c r="A175" i="330"/>
  <c r="A174" i="330"/>
  <c r="K171" i="330"/>
  <c r="K35" i="241"/>
  <c r="H171" i="330"/>
  <c r="H35" i="241" s="1"/>
  <c r="G171" i="330"/>
  <c r="F171" i="330"/>
  <c r="F35" i="241" s="1"/>
  <c r="E171" i="330"/>
  <c r="D171" i="330"/>
  <c r="D35" i="241"/>
  <c r="C171" i="330"/>
  <c r="C35" i="241"/>
  <c r="I176" i="330"/>
  <c r="J176" i="330"/>
  <c r="I175" i="330"/>
  <c r="J175" i="330" s="1"/>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6" i="330"/>
  <c r="J156" i="330" s="1"/>
  <c r="I155" i="330"/>
  <c r="J155" i="330"/>
  <c r="I154" i="330"/>
  <c r="J154" i="330"/>
  <c r="I153" i="330"/>
  <c r="J153" i="330"/>
  <c r="I152" i="330"/>
  <c r="J152" i="330"/>
  <c r="I151" i="330"/>
  <c r="J151" i="330"/>
  <c r="I164" i="330"/>
  <c r="J164" i="330"/>
  <c r="I163" i="330"/>
  <c r="J163" i="330" s="1"/>
  <c r="I162" i="330"/>
  <c r="J162" i="330" s="1"/>
  <c r="I161" i="330"/>
  <c r="J161" i="330" s="1"/>
  <c r="I160" i="330"/>
  <c r="J160" i="330" s="1"/>
  <c r="I159" i="330"/>
  <c r="J159" i="330" s="1"/>
  <c r="A147" i="330"/>
  <c r="A145" i="330"/>
  <c r="A144" i="330"/>
  <c r="A143" i="330"/>
  <c r="A142" i="330"/>
  <c r="A141" i="330"/>
  <c r="A140" i="330"/>
  <c r="A139" i="330"/>
  <c r="A138" i="330"/>
  <c r="A137" i="330"/>
  <c r="A136" i="330"/>
  <c r="A135" i="330"/>
  <c r="A134" i="330"/>
  <c r="A133" i="330"/>
  <c r="K132" i="330"/>
  <c r="K31" i="241"/>
  <c r="H132" i="330"/>
  <c r="G132" i="330"/>
  <c r="G31" i="241" s="1"/>
  <c r="F132" i="330"/>
  <c r="F31" i="241" s="1"/>
  <c r="E132" i="330"/>
  <c r="E31" i="241" s="1"/>
  <c r="D132" i="330"/>
  <c r="D128" i="330" s="1"/>
  <c r="D247" i="330" s="1"/>
  <c r="K27" i="330"/>
  <c r="H27" i="330"/>
  <c r="H11" i="241" s="1"/>
  <c r="G27" i="330"/>
  <c r="G11" i="241" s="1"/>
  <c r="F27" i="330"/>
  <c r="F11" i="241" s="1"/>
  <c r="E27" i="330"/>
  <c r="E11" i="241"/>
  <c r="D27" i="330"/>
  <c r="C27" i="330"/>
  <c r="C11" i="241"/>
  <c r="K10" i="330"/>
  <c r="H10" i="330"/>
  <c r="H8" i="241" s="1"/>
  <c r="H6" i="241" s="1"/>
  <c r="G10" i="330"/>
  <c r="G6" i="330" s="1"/>
  <c r="F10" i="330"/>
  <c r="F6" i="330" s="1"/>
  <c r="E10" i="330"/>
  <c r="E8" i="241" s="1"/>
  <c r="E6" i="241" s="1"/>
  <c r="D10" i="330"/>
  <c r="D8" i="241"/>
  <c r="D6" i="241" s="1"/>
  <c r="D26" i="241" s="1"/>
  <c r="C10" i="330"/>
  <c r="C132" i="330"/>
  <c r="C31" i="241"/>
  <c r="I145" i="330"/>
  <c r="J145" i="330"/>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c r="I133" i="330"/>
  <c r="J133" i="330" s="1"/>
  <c r="A146" i="330"/>
  <c r="C146" i="330"/>
  <c r="C32" i="241"/>
  <c r="D146" i="330"/>
  <c r="E146" i="330"/>
  <c r="E32" i="241"/>
  <c r="F146" i="330"/>
  <c r="F32" i="241" s="1"/>
  <c r="G146" i="330"/>
  <c r="G32" i="241" s="1"/>
  <c r="K146" i="330"/>
  <c r="K32" i="241"/>
  <c r="I147" i="330"/>
  <c r="J147" i="330" s="1"/>
  <c r="A148" i="330"/>
  <c r="A149" i="330"/>
  <c r="C149" i="330"/>
  <c r="C34" i="241"/>
  <c r="D149" i="330"/>
  <c r="D34" i="241"/>
  <c r="E149" i="330"/>
  <c r="E34" i="241"/>
  <c r="F149" i="330"/>
  <c r="F34" i="241" s="1"/>
  <c r="G149" i="330"/>
  <c r="G34" i="241" s="1"/>
  <c r="H149" i="330"/>
  <c r="H34" i="241" s="1"/>
  <c r="K149" i="330"/>
  <c r="I150" i="330"/>
  <c r="J150" i="330"/>
  <c r="I165" i="330"/>
  <c r="J165" i="330"/>
  <c r="I166" i="330"/>
  <c r="J166" i="330"/>
  <c r="I167" i="330"/>
  <c r="J167" i="330"/>
  <c r="I168" i="330"/>
  <c r="J168" i="330"/>
  <c r="I169" i="330"/>
  <c r="J169" i="330"/>
  <c r="I170" i="330"/>
  <c r="J170" i="330"/>
  <c r="I121" i="330"/>
  <c r="J121" i="330"/>
  <c r="K113" i="330"/>
  <c r="K24" i="241"/>
  <c r="H113" i="330"/>
  <c r="H24" i="241" s="1"/>
  <c r="H100" i="330"/>
  <c r="H21" i="241" s="1"/>
  <c r="G113" i="330"/>
  <c r="F113" i="330"/>
  <c r="F24" i="241"/>
  <c r="E113" i="330"/>
  <c r="E24" i="241"/>
  <c r="D113" i="330"/>
  <c r="D24" i="241"/>
  <c r="C113" i="330"/>
  <c r="C99" i="330"/>
  <c r="C24" i="241"/>
  <c r="C20"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H17" i="241" s="1"/>
  <c r="H87" i="330"/>
  <c r="H18" i="241" s="1"/>
  <c r="G76" i="330"/>
  <c r="F76" i="330"/>
  <c r="F17" i="241" s="1"/>
  <c r="E76" i="330"/>
  <c r="E17" i="241"/>
  <c r="D76" i="330"/>
  <c r="D17" i="241"/>
  <c r="C76" i="330"/>
  <c r="C17" i="241"/>
  <c r="I77" i="330"/>
  <c r="J77" i="330"/>
  <c r="I81" i="330"/>
  <c r="J81" i="330" s="1"/>
  <c r="I80" i="330"/>
  <c r="J80" i="330"/>
  <c r="I79" i="330"/>
  <c r="J79" i="330"/>
  <c r="I78" i="330"/>
  <c r="J78" i="330"/>
  <c r="I83" i="330"/>
  <c r="J83" i="330"/>
  <c r="I82" i="330"/>
  <c r="J82" i="330" s="1"/>
  <c r="K67" i="330"/>
  <c r="K15" i="241"/>
  <c r="H67" i="330"/>
  <c r="H15" i="241" s="1"/>
  <c r="G67" i="330"/>
  <c r="G15" i="241" s="1"/>
  <c r="F67" i="330"/>
  <c r="F15" i="241" s="1"/>
  <c r="E67" i="330"/>
  <c r="E15" i="241"/>
  <c r="D67" i="330"/>
  <c r="C67" i="330"/>
  <c r="C15" i="241"/>
  <c r="H64" i="330"/>
  <c r="H14" i="241" s="1"/>
  <c r="G64" i="330"/>
  <c r="G14" i="241" s="1"/>
  <c r="F64" i="330"/>
  <c r="F14" i="241" s="1"/>
  <c r="E64" i="330"/>
  <c r="E14" i="241"/>
  <c r="D64" i="330"/>
  <c r="D14" i="241"/>
  <c r="K64" i="330"/>
  <c r="C64" i="330"/>
  <c r="C14" i="241"/>
  <c r="I69" i="330"/>
  <c r="J69" i="330" s="1"/>
  <c r="I68" i="330"/>
  <c r="J68" i="330"/>
  <c r="I71" i="330"/>
  <c r="J71" i="330"/>
  <c r="I70" i="330"/>
  <c r="J70" i="330"/>
  <c r="I66" i="330"/>
  <c r="J66" i="330"/>
  <c r="I65" i="330"/>
  <c r="J65" i="330" s="1"/>
  <c r="I58" i="330"/>
  <c r="J58" i="330"/>
  <c r="K49" i="330"/>
  <c r="K12" i="241"/>
  <c r="H49" i="330"/>
  <c r="G49" i="330"/>
  <c r="G12" i="241" s="1"/>
  <c r="F49" i="330"/>
  <c r="F12" i="241" s="1"/>
  <c r="E49" i="330"/>
  <c r="E12" i="241"/>
  <c r="D49" i="330"/>
  <c r="D12" i="241"/>
  <c r="C49" i="330"/>
  <c r="C12" i="241"/>
  <c r="I54" i="330"/>
  <c r="J54" i="330"/>
  <c r="I53" i="330"/>
  <c r="J53" i="330" s="1"/>
  <c r="I52" i="330"/>
  <c r="J52" i="330"/>
  <c r="I51" i="330"/>
  <c r="J51" i="330"/>
  <c r="I50" i="330"/>
  <c r="J50" i="330"/>
  <c r="C55" i="330"/>
  <c r="C13" i="241"/>
  <c r="D55" i="330"/>
  <c r="D13" i="241"/>
  <c r="E55" i="330"/>
  <c r="E13" i="241"/>
  <c r="F55" i="330"/>
  <c r="F13" i="241" s="1"/>
  <c r="G55" i="330"/>
  <c r="G13" i="241" s="1"/>
  <c r="H55" i="330"/>
  <c r="H13" i="241" s="1"/>
  <c r="K55" i="330"/>
  <c r="K13" i="241"/>
  <c r="I56" i="330"/>
  <c r="J56" i="330" s="1"/>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s="1"/>
  <c r="I14" i="330"/>
  <c r="J14" i="330"/>
  <c r="I13" i="330"/>
  <c r="J13" i="330" s="1"/>
  <c r="I12" i="330"/>
  <c r="J12" i="330"/>
  <c r="I11" i="330"/>
  <c r="J11" i="330"/>
  <c r="I19" i="330"/>
  <c r="J19" i="330"/>
  <c r="I18" i="330"/>
  <c r="J18" i="330"/>
  <c r="I23" i="330"/>
  <c r="J23" i="330"/>
  <c r="I22" i="330"/>
  <c r="J22" i="330"/>
  <c r="I21" i="330"/>
  <c r="J21" i="330"/>
  <c r="I20" i="330"/>
  <c r="J20" i="330"/>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A1" i="241" s="1"/>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H8" i="267" s="1"/>
  <c r="I8" i="267" s="1"/>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c r="I39" i="318"/>
  <c r="J39" i="318" s="1"/>
  <c r="I34" i="318"/>
  <c r="J34" i="318" s="1"/>
  <c r="I35" i="318"/>
  <c r="J35" i="318" s="1"/>
  <c r="I36" i="318"/>
  <c r="J36" i="318" s="1"/>
  <c r="I37" i="318"/>
  <c r="J37" i="318" s="1"/>
  <c r="I38" i="318"/>
  <c r="J38" i="318" s="1"/>
  <c r="I42" i="318"/>
  <c r="J42" i="318" s="1"/>
  <c r="I43" i="318"/>
  <c r="J43" i="318" s="1"/>
  <c r="I44" i="318"/>
  <c r="J44" i="318"/>
  <c r="I45" i="318"/>
  <c r="J45" i="318"/>
  <c r="I23" i="318"/>
  <c r="J23" i="318"/>
  <c r="I25" i="318"/>
  <c r="J25" i="318"/>
  <c r="I24" i="318"/>
  <c r="J24" i="318"/>
  <c r="I22" i="318"/>
  <c r="J22" i="318" s="1"/>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c r="D174" i="323"/>
  <c r="E174" i="323"/>
  <c r="F174" i="323"/>
  <c r="F24" i="272" s="1"/>
  <c r="G174" i="323"/>
  <c r="H174" i="323"/>
  <c r="H24" i="272" s="1"/>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s="1"/>
  <c r="K70" i="268"/>
  <c r="K74" i="268"/>
  <c r="K57" i="268"/>
  <c r="H57" i="268"/>
  <c r="G57" i="268"/>
  <c r="F57" i="268"/>
  <c r="E57" i="268"/>
  <c r="D57" i="268"/>
  <c r="C57" i="268"/>
  <c r="C118" i="330"/>
  <c r="C25" i="241"/>
  <c r="K8" i="241"/>
  <c r="C8" i="241"/>
  <c r="J12" i="267"/>
  <c r="J13" i="267"/>
  <c r="J14" i="267"/>
  <c r="J15" i="267"/>
  <c r="J16" i="267"/>
  <c r="J17" i="267"/>
  <c r="G12" i="267"/>
  <c r="G13" i="267"/>
  <c r="G14" i="267"/>
  <c r="H14" i="267" s="1"/>
  <c r="I14" i="267" s="1"/>
  <c r="G15" i="267"/>
  <c r="H36" i="182"/>
  <c r="G16" i="267"/>
  <c r="G17" i="267"/>
  <c r="F12" i="267"/>
  <c r="F13" i="267"/>
  <c r="H13" i="267"/>
  <c r="I13" i="267" s="1"/>
  <c r="F14" i="267"/>
  <c r="F15" i="267"/>
  <c r="F16" i="267"/>
  <c r="F17" i="267"/>
  <c r="E12" i="267"/>
  <c r="E13" i="267"/>
  <c r="E14" i="267"/>
  <c r="E15" i="267"/>
  <c r="E16" i="267"/>
  <c r="E17" i="267"/>
  <c r="D12" i="267"/>
  <c r="D18" i="267" s="1"/>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s="1"/>
  <c r="H196" i="323"/>
  <c r="H207" i="323"/>
  <c r="H27" i="272" s="1"/>
  <c r="H218" i="323"/>
  <c r="H28" i="272" s="1"/>
  <c r="H229" i="323"/>
  <c r="H29" i="272" s="1"/>
  <c r="H240" i="323"/>
  <c r="H30" i="272" s="1"/>
  <c r="H251" i="323"/>
  <c r="H31" i="272" s="1"/>
  <c r="H262" i="323"/>
  <c r="H273" i="323"/>
  <c r="H284" i="323"/>
  <c r="H34" i="272"/>
  <c r="H295" i="323"/>
  <c r="H306" i="323"/>
  <c r="H36" i="272"/>
  <c r="H317" i="323"/>
  <c r="H328" i="323"/>
  <c r="H38" i="272"/>
  <c r="G185" i="323"/>
  <c r="G196" i="323"/>
  <c r="G26" i="272" s="1"/>
  <c r="G207" i="323"/>
  <c r="G218" i="323"/>
  <c r="G28" i="272" s="1"/>
  <c r="G229" i="323"/>
  <c r="G29" i="272" s="1"/>
  <c r="G240" i="323"/>
  <c r="G30" i="272" s="1"/>
  <c r="G251" i="323"/>
  <c r="G31" i="272" s="1"/>
  <c r="G262" i="323"/>
  <c r="G273" i="323"/>
  <c r="I273" i="323"/>
  <c r="G33" i="272"/>
  <c r="I33" i="272"/>
  <c r="J33" i="272"/>
  <c r="G284" i="323"/>
  <c r="G295" i="323"/>
  <c r="G306" i="323"/>
  <c r="G317" i="323"/>
  <c r="I317" i="323"/>
  <c r="J317" i="323"/>
  <c r="G328" i="323"/>
  <c r="F185" i="323"/>
  <c r="F25" i="272" s="1"/>
  <c r="F196" i="323"/>
  <c r="F207" i="323"/>
  <c r="F27" i="272" s="1"/>
  <c r="F218" i="323"/>
  <c r="F28" i="272"/>
  <c r="F229" i="323"/>
  <c r="F29" i="272" s="1"/>
  <c r="F240" i="323"/>
  <c r="F30" i="272" s="1"/>
  <c r="F251" i="323"/>
  <c r="F31" i="272" s="1"/>
  <c r="F262" i="323"/>
  <c r="F32" i="272"/>
  <c r="F273" i="323"/>
  <c r="F284" i="323"/>
  <c r="F34" i="272"/>
  <c r="F295" i="323"/>
  <c r="F35" i="272"/>
  <c r="F306" i="323"/>
  <c r="F36" i="272"/>
  <c r="F317" i="323"/>
  <c r="F37" i="272"/>
  <c r="F328" i="323"/>
  <c r="E185" i="323"/>
  <c r="E196" i="323"/>
  <c r="E26" i="272" s="1"/>
  <c r="E207" i="323"/>
  <c r="E27" i="272"/>
  <c r="E218" i="323"/>
  <c r="E28" i="272" s="1"/>
  <c r="E229" i="323"/>
  <c r="E29" i="272" s="1"/>
  <c r="E240" i="323"/>
  <c r="E251" i="323"/>
  <c r="E31" i="272" s="1"/>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9" i="272"/>
  <c r="C240" i="323"/>
  <c r="C251" i="323"/>
  <c r="C262" i="323"/>
  <c r="C273" i="323"/>
  <c r="C33" i="272"/>
  <c r="C284" i="323"/>
  <c r="C34" i="272"/>
  <c r="C295" i="323"/>
  <c r="C306" i="323"/>
  <c r="C36" i="272"/>
  <c r="C317" i="323"/>
  <c r="C37" i="272"/>
  <c r="C328" i="323"/>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1" i="268" s="1"/>
  <c r="H253" i="324"/>
  <c r="H31" i="268" s="1"/>
  <c r="F253" i="324"/>
  <c r="F31" i="268" s="1"/>
  <c r="E253" i="324"/>
  <c r="E31" i="268" s="1"/>
  <c r="D253" i="324"/>
  <c r="D341" i="324"/>
  <c r="D343" i="324"/>
  <c r="G242" i="324"/>
  <c r="G30" i="268" s="1"/>
  <c r="H242" i="324"/>
  <c r="H30" i="268" s="1"/>
  <c r="F242" i="324"/>
  <c r="F30" i="268" s="1"/>
  <c r="E242" i="324"/>
  <c r="E30" i="268" s="1"/>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s="1"/>
  <c r="D198" i="324"/>
  <c r="D26" i="268"/>
  <c r="G187" i="324"/>
  <c r="H187" i="324"/>
  <c r="H25" i="268"/>
  <c r="F187" i="324"/>
  <c r="F25" i="268"/>
  <c r="E187" i="324"/>
  <c r="E25" i="268" s="1"/>
  <c r="D187" i="324"/>
  <c r="D25" i="268"/>
  <c r="G176" i="324"/>
  <c r="G24" i="268"/>
  <c r="H176" i="324"/>
  <c r="H24" i="268"/>
  <c r="F176" i="324"/>
  <c r="E176" i="324"/>
  <c r="E24" i="268" s="1"/>
  <c r="D176" i="324"/>
  <c r="D24" i="268"/>
  <c r="C319" i="324"/>
  <c r="C37" i="268"/>
  <c r="C308" i="324"/>
  <c r="C36" i="268"/>
  <c r="C297" i="324"/>
  <c r="C35" i="268"/>
  <c r="C286" i="324"/>
  <c r="C34" i="268"/>
  <c r="C275" i="324"/>
  <c r="C33" i="268"/>
  <c r="C176" i="324"/>
  <c r="C24" i="268"/>
  <c r="C330" i="324"/>
  <c r="C264" i="324"/>
  <c r="C32" i="268"/>
  <c r="C253" i="324"/>
  <c r="C31" i="268"/>
  <c r="C242" i="324"/>
  <c r="C30" i="268"/>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E29" i="267" s="1"/>
  <c r="G70" i="268"/>
  <c r="F29" i="267" s="1"/>
  <c r="H70" i="268"/>
  <c r="C70" i="268"/>
  <c r="C74" i="268"/>
  <c r="C86"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92" i="330"/>
  <c r="H19" i="241"/>
  <c r="H104" i="330"/>
  <c r="H22" i="241"/>
  <c r="H108" i="330"/>
  <c r="H23" i="241"/>
  <c r="H118" i="330"/>
  <c r="H25" i="241"/>
  <c r="H129" i="330"/>
  <c r="H177" i="330"/>
  <c r="H36" i="241" s="1"/>
  <c r="H189" i="330"/>
  <c r="H38" i="241" s="1"/>
  <c r="H198" i="330"/>
  <c r="H40" i="241" s="1"/>
  <c r="H209" i="330"/>
  <c r="H41" i="241" s="1"/>
  <c r="H214" i="330"/>
  <c r="H42" i="241"/>
  <c r="H222" i="330"/>
  <c r="H226" i="330"/>
  <c r="H45" i="241"/>
  <c r="H230" i="330"/>
  <c r="H46" i="241" s="1"/>
  <c r="H240" i="330"/>
  <c r="H48" i="241"/>
  <c r="G7" i="330"/>
  <c r="G7" i="241"/>
  <c r="G24" i="330"/>
  <c r="G87" i="330"/>
  <c r="G18" i="241" s="1"/>
  <c r="G92" i="330"/>
  <c r="G100" i="330"/>
  <c r="G21" i="241" s="1"/>
  <c r="G104" i="330"/>
  <c r="G22" i="241"/>
  <c r="I22" i="241"/>
  <c r="J22" i="241"/>
  <c r="G108" i="330"/>
  <c r="G23" i="241"/>
  <c r="G118" i="330"/>
  <c r="G25" i="241"/>
  <c r="I25" i="241"/>
  <c r="J25" i="241"/>
  <c r="G129" i="330"/>
  <c r="G30" i="241" s="1"/>
  <c r="G177" i="330"/>
  <c r="G36" i="241" s="1"/>
  <c r="G189" i="330"/>
  <c r="G38" i="241" s="1"/>
  <c r="G198" i="330"/>
  <c r="G209" i="330"/>
  <c r="G41" i="241" s="1"/>
  <c r="G214" i="330"/>
  <c r="G42" i="241"/>
  <c r="G222" i="330"/>
  <c r="G226" i="330"/>
  <c r="G230" i="330"/>
  <c r="G46" i="241" s="1"/>
  <c r="G240" i="330"/>
  <c r="F7" i="330"/>
  <c r="F7" i="241"/>
  <c r="F24" i="330"/>
  <c r="F87" i="330"/>
  <c r="F18" i="241" s="1"/>
  <c r="F92" i="330"/>
  <c r="F19" i="241"/>
  <c r="F100" i="330"/>
  <c r="F21" i="241" s="1"/>
  <c r="F104" i="330"/>
  <c r="F108" i="330"/>
  <c r="F23" i="241"/>
  <c r="F118" i="330"/>
  <c r="F25" i="241"/>
  <c r="F129" i="330"/>
  <c r="F30" i="241" s="1"/>
  <c r="F177" i="330"/>
  <c r="F36" i="241" s="1"/>
  <c r="F189" i="330"/>
  <c r="F38" i="241"/>
  <c r="F198" i="330"/>
  <c r="F209" i="330"/>
  <c r="F41" i="241" s="1"/>
  <c r="F214" i="330"/>
  <c r="F42" i="241"/>
  <c r="F222" i="330"/>
  <c r="F44" i="241" s="1"/>
  <c r="F226" i="330"/>
  <c r="F45" i="241"/>
  <c r="F230" i="330"/>
  <c r="F46" i="241" s="1"/>
  <c r="F240" i="330"/>
  <c r="F48" i="241"/>
  <c r="E7" i="330"/>
  <c r="E7" i="241"/>
  <c r="E24" i="330"/>
  <c r="E9" i="241"/>
  <c r="E87" i="330"/>
  <c r="E18" i="241"/>
  <c r="E92" i="330"/>
  <c r="E19" i="241"/>
  <c r="E100" i="330"/>
  <c r="E99" i="330" s="1"/>
  <c r="E21" i="241"/>
  <c r="E20" i="241" s="1"/>
  <c r="E104" i="330"/>
  <c r="E108" i="330"/>
  <c r="E23" i="241"/>
  <c r="E118" i="330"/>
  <c r="E25" i="241"/>
  <c r="E129" i="330"/>
  <c r="E30" i="241"/>
  <c r="E177" i="330"/>
  <c r="E36" i="241" s="1"/>
  <c r="E189" i="330"/>
  <c r="E38" i="241" s="1"/>
  <c r="E198" i="330"/>
  <c r="E40" i="241" s="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43" i="241"/>
  <c r="C214" i="330"/>
  <c r="C42" i="241"/>
  <c r="C209" i="330"/>
  <c r="C41" i="241"/>
  <c r="C198" i="330"/>
  <c r="C40" i="241"/>
  <c r="C39" i="241"/>
  <c r="C189" i="330"/>
  <c r="C38" i="241"/>
  <c r="C177" i="330"/>
  <c r="C36" i="241"/>
  <c r="C129" i="330"/>
  <c r="C30" i="241"/>
  <c r="I246" i="330"/>
  <c r="J246" i="330"/>
  <c r="I245" i="330"/>
  <c r="J245" i="330"/>
  <c r="I244" i="330"/>
  <c r="J244" i="330"/>
  <c r="I242" i="330"/>
  <c r="J242" i="330"/>
  <c r="I241" i="330"/>
  <c r="J241" i="330"/>
  <c r="I239" i="330"/>
  <c r="J239" i="330" s="1"/>
  <c r="I234" i="330"/>
  <c r="J234" i="330"/>
  <c r="I232" i="330"/>
  <c r="J232" i="330"/>
  <c r="I231" i="330"/>
  <c r="J231" i="330" s="1"/>
  <c r="I227" i="330"/>
  <c r="J227" i="330"/>
  <c r="I225" i="330"/>
  <c r="J225" i="330"/>
  <c r="I223" i="330"/>
  <c r="J223" i="330" s="1"/>
  <c r="I220" i="330"/>
  <c r="J220" i="330"/>
  <c r="I216" i="330"/>
  <c r="J216" i="330"/>
  <c r="I215" i="330"/>
  <c r="J215" i="330"/>
  <c r="I213" i="330"/>
  <c r="J213" i="330"/>
  <c r="I212" i="330"/>
  <c r="J212" i="330" s="1"/>
  <c r="I210" i="330"/>
  <c r="J210" i="330"/>
  <c r="I199" i="330"/>
  <c r="J199" i="330"/>
  <c r="I196" i="330"/>
  <c r="J196" i="330"/>
  <c r="I195" i="330"/>
  <c r="J195" i="330"/>
  <c r="I190" i="330"/>
  <c r="J190" i="330"/>
  <c r="I185" i="330"/>
  <c r="J185" i="330"/>
  <c r="I182" i="330"/>
  <c r="J182" i="330"/>
  <c r="I181" i="330"/>
  <c r="J181" i="330"/>
  <c r="I179" i="330"/>
  <c r="J179" i="330"/>
  <c r="I178" i="330"/>
  <c r="J178" i="330" s="1"/>
  <c r="I131" i="330"/>
  <c r="J131" i="330" s="1"/>
  <c r="I130" i="330"/>
  <c r="J130" i="330" s="1"/>
  <c r="I124" i="330"/>
  <c r="J124" i="330"/>
  <c r="I123" i="330"/>
  <c r="J123" i="330"/>
  <c r="I122" i="330"/>
  <c r="J122" i="330"/>
  <c r="I120" i="330"/>
  <c r="J120" i="330"/>
  <c r="I119" i="330"/>
  <c r="J119" i="330"/>
  <c r="I116" i="330"/>
  <c r="J116" i="330" s="1"/>
  <c r="I112" i="330"/>
  <c r="J112" i="330"/>
  <c r="I110" i="330"/>
  <c r="J110" i="330"/>
  <c r="I109" i="330"/>
  <c r="J109" i="330"/>
  <c r="I107" i="330"/>
  <c r="J107" i="330"/>
  <c r="I105" i="330"/>
  <c r="J105" i="330"/>
  <c r="I103" i="330"/>
  <c r="J103" i="330"/>
  <c r="I101" i="330"/>
  <c r="J101" i="330" s="1"/>
  <c r="I98" i="330"/>
  <c r="J98" i="330"/>
  <c r="I97" i="330"/>
  <c r="J97" i="330"/>
  <c r="I93" i="330"/>
  <c r="J93" i="330"/>
  <c r="I91" i="330"/>
  <c r="J91" i="330"/>
  <c r="I90" i="330"/>
  <c r="J90" i="330" s="1"/>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G37" i="177"/>
  <c r="F45" i="267" s="1"/>
  <c r="F37" i="177"/>
  <c r="E45" i="267"/>
  <c r="E37" i="177"/>
  <c r="D45" i="267"/>
  <c r="D37" i="177"/>
  <c r="C45" i="267"/>
  <c r="C37" i="177"/>
  <c r="B45" i="267" s="1"/>
  <c r="K28" i="177"/>
  <c r="H28" i="177"/>
  <c r="G44" i="267" s="1"/>
  <c r="G28" i="177"/>
  <c r="F44" i="267" s="1"/>
  <c r="F28" i="177"/>
  <c r="E44" i="267" s="1"/>
  <c r="E28" i="177"/>
  <c r="D44" i="267" s="1"/>
  <c r="C28" i="177"/>
  <c r="B44" i="267"/>
  <c r="K18" i="177"/>
  <c r="K39" i="177"/>
  <c r="G18" i="177"/>
  <c r="F43" i="267" s="1"/>
  <c r="F18" i="177"/>
  <c r="E18" i="177"/>
  <c r="D43" i="267"/>
  <c r="E77" i="100"/>
  <c r="E46" i="267"/>
  <c r="G48" i="178"/>
  <c r="J40" i="267"/>
  <c r="G40" i="178"/>
  <c r="J39" i="267"/>
  <c r="G35" i="178"/>
  <c r="G13" i="178"/>
  <c r="E48" i="178"/>
  <c r="D40" i="267" s="1"/>
  <c r="D48" i="178"/>
  <c r="E40" i="178"/>
  <c r="D39" i="267"/>
  <c r="D40" i="178"/>
  <c r="C39" i="267"/>
  <c r="E35" i="178"/>
  <c r="D38" i="267"/>
  <c r="D35" i="178"/>
  <c r="E13" i="178"/>
  <c r="F52" i="174" s="1"/>
  <c r="F13" i="174" s="1"/>
  <c r="D13" i="178"/>
  <c r="E52" i="174"/>
  <c r="C48" i="178"/>
  <c r="B40" i="267"/>
  <c r="C40" i="178"/>
  <c r="C35" i="178"/>
  <c r="D53" i="174"/>
  <c r="B38" i="267"/>
  <c r="C13" i="178"/>
  <c r="B36" i="267"/>
  <c r="D52" i="174"/>
  <c r="J32" i="267"/>
  <c r="J31" i="267"/>
  <c r="G32" i="267"/>
  <c r="F32" i="267"/>
  <c r="H32" i="267" s="1"/>
  <c r="I32" i="267" s="1"/>
  <c r="E32" i="267"/>
  <c r="D32" i="267"/>
  <c r="C32" i="267"/>
  <c r="G31" i="267"/>
  <c r="F31" i="267"/>
  <c r="H31" i="267" s="1"/>
  <c r="I31" i="267" s="1"/>
  <c r="E31" i="267"/>
  <c r="D31" i="267"/>
  <c r="D33" i="267" s="1"/>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F21" i="267"/>
  <c r="H21" i="267" s="1"/>
  <c r="I21" i="267" s="1"/>
  <c r="E21" i="267"/>
  <c r="D21" i="267"/>
  <c r="C21" i="267"/>
  <c r="B22" i="267"/>
  <c r="B21" i="267"/>
  <c r="G36" i="182"/>
  <c r="I36" i="182" s="1"/>
  <c r="J36" i="182" s="1"/>
  <c r="F36" i="182"/>
  <c r="E36" i="182"/>
  <c r="F45" i="174" s="1"/>
  <c r="D36" i="182"/>
  <c r="E45" i="174"/>
  <c r="C36" i="182"/>
  <c r="C38" i="182"/>
  <c r="C42" i="182"/>
  <c r="C44" i="182"/>
  <c r="C46" i="182"/>
  <c r="C48" i="182"/>
  <c r="F6" i="267"/>
  <c r="G6" i="267"/>
  <c r="F9" i="267"/>
  <c r="G9" i="267"/>
  <c r="I6" i="182"/>
  <c r="J6" i="182" s="1"/>
  <c r="I7" i="182"/>
  <c r="J7" i="182" s="1"/>
  <c r="I8" i="182"/>
  <c r="J8" i="182"/>
  <c r="I9" i="182"/>
  <c r="J9" i="182"/>
  <c r="I10" i="182"/>
  <c r="J10" i="182" s="1"/>
  <c r="I13" i="182"/>
  <c r="J13" i="182" s="1"/>
  <c r="I14" i="182"/>
  <c r="J14" i="182" s="1"/>
  <c r="I19" i="182"/>
  <c r="J19" i="182" s="1"/>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c r="F15" i="173"/>
  <c r="E52" i="267" s="1"/>
  <c r="G15" i="173"/>
  <c r="F52" i="267"/>
  <c r="H15" i="173"/>
  <c r="G52" i="267"/>
  <c r="I15" i="173"/>
  <c r="H52" i="267"/>
  <c r="J15" i="173"/>
  <c r="I52" i="267"/>
  <c r="K6" i="173"/>
  <c r="K7" i="173"/>
  <c r="K8" i="173"/>
  <c r="K9" i="173"/>
  <c r="K10" i="173"/>
  <c r="F104" i="172"/>
  <c r="K11" i="173"/>
  <c r="G104" i="172"/>
  <c r="K12" i="173"/>
  <c r="K15" i="173" s="1"/>
  <c r="J52" i="267" s="1"/>
  <c r="K13" i="173"/>
  <c r="I104" i="172"/>
  <c r="K14" i="173"/>
  <c r="C14" i="175"/>
  <c r="B53" i="172" s="1"/>
  <c r="D14" i="175"/>
  <c r="C50" i="267" s="1"/>
  <c r="E14" i="175"/>
  <c r="D50" i="267" s="1"/>
  <c r="F14" i="175"/>
  <c r="E50" i="267" s="1"/>
  <c r="G14" i="175"/>
  <c r="F50" i="267" s="1"/>
  <c r="H14" i="175"/>
  <c r="G50" i="267"/>
  <c r="I14" i="175"/>
  <c r="J14" i="175"/>
  <c r="K40" i="177"/>
  <c r="K41" i="177"/>
  <c r="J46" i="267"/>
  <c r="B29" i="267"/>
  <c r="B33" i="267" s="1"/>
  <c r="D29" i="267"/>
  <c r="C6" i="323"/>
  <c r="C17" i="323"/>
  <c r="C7" i="272"/>
  <c r="C28" i="323"/>
  <c r="C8" i="272"/>
  <c r="C39" i="323"/>
  <c r="C9" i="272"/>
  <c r="C50" i="323"/>
  <c r="C10" i="272"/>
  <c r="C61" i="323"/>
  <c r="C11" i="272"/>
  <c r="C72" i="323"/>
  <c r="C12" i="272"/>
  <c r="C83" i="323"/>
  <c r="C13" i="272"/>
  <c r="C94" i="323"/>
  <c r="C14" i="272"/>
  <c r="C105" i="323"/>
  <c r="C15" i="272"/>
  <c r="H6" i="323"/>
  <c r="H6" i="272"/>
  <c r="H17" i="323"/>
  <c r="H7" i="272" s="1"/>
  <c r="H28" i="323"/>
  <c r="H8" i="272" s="1"/>
  <c r="H39" i="323"/>
  <c r="I39" i="323" s="1"/>
  <c r="J39" i="323" s="1"/>
  <c r="H50" i="323"/>
  <c r="H10" i="272" s="1"/>
  <c r="H61" i="323"/>
  <c r="H11" i="272" s="1"/>
  <c r="H72" i="323"/>
  <c r="H12" i="272" s="1"/>
  <c r="H83" i="323"/>
  <c r="H13" i="272" s="1"/>
  <c r="H94" i="323"/>
  <c r="G6" i="323"/>
  <c r="G17" i="323"/>
  <c r="G7" i="272" s="1"/>
  <c r="G28" i="323"/>
  <c r="G8" i="272" s="1"/>
  <c r="G39" i="323"/>
  <c r="G9" i="272"/>
  <c r="G50" i="323"/>
  <c r="G10" i="272" s="1"/>
  <c r="G61" i="323"/>
  <c r="G11" i="272" s="1"/>
  <c r="G72" i="323"/>
  <c r="G12" i="272" s="1"/>
  <c r="G83" i="323"/>
  <c r="G94" i="323"/>
  <c r="D6" i="323"/>
  <c r="D17" i="323"/>
  <c r="D28" i="323"/>
  <c r="D39" i="323"/>
  <c r="D9" i="272"/>
  <c r="D50" i="323"/>
  <c r="D10" i="272"/>
  <c r="D61" i="323"/>
  <c r="D11" i="272"/>
  <c r="D72" i="323"/>
  <c r="D83" i="323"/>
  <c r="D13" i="272"/>
  <c r="D94" i="323"/>
  <c r="D14" i="272"/>
  <c r="E6" i="323"/>
  <c r="E6" i="272"/>
  <c r="E17" i="323"/>
  <c r="E28" i="323"/>
  <c r="E8" i="272"/>
  <c r="E39" i="323"/>
  <c r="E9" i="272" s="1"/>
  <c r="E50" i="323"/>
  <c r="E10" i="272"/>
  <c r="E61" i="323"/>
  <c r="E11" i="272"/>
  <c r="E72" i="323"/>
  <c r="E171" i="323" s="1"/>
  <c r="E83" i="323"/>
  <c r="E13" i="272"/>
  <c r="E94" i="323"/>
  <c r="E14" i="272"/>
  <c r="F6" i="323"/>
  <c r="F17" i="323"/>
  <c r="F7" i="272" s="1"/>
  <c r="F28" i="323"/>
  <c r="F8" i="272" s="1"/>
  <c r="F39" i="323"/>
  <c r="F9" i="272"/>
  <c r="F50" i="323"/>
  <c r="F10" i="272" s="1"/>
  <c r="F61" i="323"/>
  <c r="F11" i="272" s="1"/>
  <c r="F72" i="323"/>
  <c r="F12" i="272" s="1"/>
  <c r="F83" i="323"/>
  <c r="F13" i="272" s="1"/>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s="1"/>
  <c r="I257" i="323"/>
  <c r="J257" i="323" s="1"/>
  <c r="I256" i="323"/>
  <c r="J256" i="323" s="1"/>
  <c r="I255" i="323"/>
  <c r="J255" i="323"/>
  <c r="I254" i="323"/>
  <c r="J254" i="323" s="1"/>
  <c r="I253" i="323"/>
  <c r="J253" i="323" s="1"/>
  <c r="I252" i="323"/>
  <c r="J252" i="323" s="1"/>
  <c r="I250" i="323"/>
  <c r="J250" i="323"/>
  <c r="I249" i="323"/>
  <c r="J249" i="323"/>
  <c r="I248" i="323"/>
  <c r="J248" i="323"/>
  <c r="I247" i="323"/>
  <c r="J247" i="323"/>
  <c r="I246" i="323"/>
  <c r="J246" i="323"/>
  <c r="I245" i="323"/>
  <c r="J245" i="323"/>
  <c r="I244" i="323"/>
  <c r="J244" i="323"/>
  <c r="I243" i="323"/>
  <c r="J243" i="323" s="1"/>
  <c r="I242" i="323"/>
  <c r="J242" i="323" s="1"/>
  <c r="I241" i="323"/>
  <c r="J241" i="323" s="1"/>
  <c r="I239" i="323"/>
  <c r="J239" i="323"/>
  <c r="I238" i="323"/>
  <c r="J238" i="323"/>
  <c r="I237" i="323"/>
  <c r="J237" i="323"/>
  <c r="I236" i="323"/>
  <c r="J236" i="323"/>
  <c r="I235" i="323"/>
  <c r="J235" i="323"/>
  <c r="I234" i="323"/>
  <c r="J234" i="323"/>
  <c r="I233" i="323"/>
  <c r="J233" i="323"/>
  <c r="I232" i="323"/>
  <c r="J232" i="323" s="1"/>
  <c r="I231" i="323"/>
  <c r="J231" i="323" s="1"/>
  <c r="I230" i="323"/>
  <c r="J230" i="323" s="1"/>
  <c r="I228" i="323"/>
  <c r="J228" i="323"/>
  <c r="I227" i="323"/>
  <c r="J227" i="323"/>
  <c r="I226" i="323"/>
  <c r="J226" i="323" s="1"/>
  <c r="I225" i="323"/>
  <c r="J225" i="323" s="1"/>
  <c r="I224" i="323"/>
  <c r="J224" i="323" s="1"/>
  <c r="I223" i="323"/>
  <c r="J223" i="323" s="1"/>
  <c r="I222" i="323"/>
  <c r="J222" i="323" s="1"/>
  <c r="I221" i="323"/>
  <c r="J221" i="323" s="1"/>
  <c r="I220" i="323"/>
  <c r="J220" i="323" s="1"/>
  <c r="I219" i="323"/>
  <c r="J219" i="323" s="1"/>
  <c r="I217" i="323"/>
  <c r="J217" i="323"/>
  <c r="I216" i="323"/>
  <c r="J216" i="323"/>
  <c r="I215" i="323"/>
  <c r="J215" i="323"/>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s="1"/>
  <c r="I201" i="323"/>
  <c r="J201" i="323" s="1"/>
  <c r="I200" i="323"/>
  <c r="J200" i="323" s="1"/>
  <c r="I199" i="323"/>
  <c r="J199" i="323" s="1"/>
  <c r="I198" i="323"/>
  <c r="J198" i="323" s="1"/>
  <c r="I197" i="323"/>
  <c r="J197" i="323" s="1"/>
  <c r="I195" i="323"/>
  <c r="J195" i="323"/>
  <c r="I194" i="323"/>
  <c r="J194" i="323"/>
  <c r="I193" i="323"/>
  <c r="J193" i="323"/>
  <c r="I192" i="323"/>
  <c r="J192" i="323" s="1"/>
  <c r="I191" i="323"/>
  <c r="J191" i="323" s="1"/>
  <c r="I190" i="323"/>
  <c r="J190" i="323" s="1"/>
  <c r="I189" i="323"/>
  <c r="J189" i="323" s="1"/>
  <c r="I188" i="323"/>
  <c r="J188" i="323" s="1"/>
  <c r="I187" i="323"/>
  <c r="J187" i="323" s="1"/>
  <c r="I186" i="323"/>
  <c r="J186" i="323" s="1"/>
  <c r="I184" i="323"/>
  <c r="J184" i="323"/>
  <c r="I183" i="323"/>
  <c r="J183" i="323"/>
  <c r="I182" i="323"/>
  <c r="J182" i="323"/>
  <c r="I181" i="323"/>
  <c r="J181" i="323" s="1"/>
  <c r="I180" i="323"/>
  <c r="J180" i="323" s="1"/>
  <c r="I179" i="323"/>
  <c r="J179" i="323" s="1"/>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s="1"/>
  <c r="I89" i="323"/>
  <c r="J89" i="323" s="1"/>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s="1"/>
  <c r="J74" i="323"/>
  <c r="I73" i="323"/>
  <c r="J73" i="323"/>
  <c r="I71" i="323"/>
  <c r="J71" i="323"/>
  <c r="I70" i="323"/>
  <c r="J70" i="323"/>
  <c r="I69" i="323"/>
  <c r="J69" i="323"/>
  <c r="I68" i="323"/>
  <c r="J68" i="323"/>
  <c r="I67" i="323"/>
  <c r="J67" i="323"/>
  <c r="I66" i="323"/>
  <c r="J66" i="323"/>
  <c r="I65" i="323"/>
  <c r="J65" i="323"/>
  <c r="I64" i="323"/>
  <c r="J64" i="323" s="1"/>
  <c r="I63" i="323"/>
  <c r="J63" i="323" s="1"/>
  <c r="I62" i="323"/>
  <c r="J62" i="323"/>
  <c r="I60" i="323"/>
  <c r="J60" i="323"/>
  <c r="I59" i="323"/>
  <c r="J59" i="323"/>
  <c r="I58" i="323"/>
  <c r="J58" i="323"/>
  <c r="I57" i="323"/>
  <c r="J57" i="323"/>
  <c r="I56" i="323"/>
  <c r="J56" i="323" s="1"/>
  <c r="I55" i="323"/>
  <c r="J55" i="323" s="1"/>
  <c r="I54" i="323"/>
  <c r="J54" i="323" s="1"/>
  <c r="I53" i="323"/>
  <c r="J53" i="323"/>
  <c r="I52" i="323"/>
  <c r="J52" i="323" s="1"/>
  <c r="I51" i="323"/>
  <c r="J51" i="323" s="1"/>
  <c r="I49" i="323"/>
  <c r="J49" i="323"/>
  <c r="I48" i="323"/>
  <c r="J48" i="323"/>
  <c r="I47" i="323"/>
  <c r="J47" i="323"/>
  <c r="I46" i="323"/>
  <c r="J46" i="323"/>
  <c r="I45" i="323"/>
  <c r="J45" i="323"/>
  <c r="I44" i="323"/>
  <c r="J44" i="323"/>
  <c r="I43" i="323"/>
  <c r="J43" i="323"/>
  <c r="I42" i="323"/>
  <c r="J42" i="323"/>
  <c r="I41" i="323"/>
  <c r="J41" i="323"/>
  <c r="I40" i="323"/>
  <c r="J40" i="323"/>
  <c r="I38" i="323"/>
  <c r="J38" i="323"/>
  <c r="I37" i="323"/>
  <c r="J37" i="323"/>
  <c r="I36" i="323"/>
  <c r="J36" i="323"/>
  <c r="I35" i="323"/>
  <c r="J35" i="323"/>
  <c r="I34" i="323"/>
  <c r="J34" i="323"/>
  <c r="I33" i="323"/>
  <c r="J33" i="323"/>
  <c r="I32" i="323"/>
  <c r="J32" i="323"/>
  <c r="I31" i="323"/>
  <c r="J31" i="323" s="1"/>
  <c r="I30" i="323"/>
  <c r="J30" i="323" s="1"/>
  <c r="I29" i="323"/>
  <c r="J29" i="323" s="1"/>
  <c r="I27" i="323"/>
  <c r="J27" i="323"/>
  <c r="I26" i="323"/>
  <c r="J26" i="323"/>
  <c r="I25" i="323"/>
  <c r="J25" i="323"/>
  <c r="I24" i="323"/>
  <c r="J24" i="323"/>
  <c r="I23" i="323"/>
  <c r="J23" i="323"/>
  <c r="I22" i="323"/>
  <c r="J22" i="323"/>
  <c r="I21" i="323"/>
  <c r="J21" i="323"/>
  <c r="I20" i="323"/>
  <c r="J20" i="323" s="1"/>
  <c r="I19" i="323"/>
  <c r="J19" i="323" s="1"/>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14" i="272"/>
  <c r="F6" i="272"/>
  <c r="D8" i="272"/>
  <c r="D12" i="272"/>
  <c r="H26" i="272"/>
  <c r="G27" i="272"/>
  <c r="G32" i="272"/>
  <c r="H32" i="272"/>
  <c r="I36" i="272"/>
  <c r="J36" i="272"/>
  <c r="K31" i="272"/>
  <c r="K32" i="272"/>
  <c r="F26" i="272"/>
  <c r="E24" i="272"/>
  <c r="E30" i="272"/>
  <c r="E32" i="272"/>
  <c r="D24" i="272"/>
  <c r="D25" i="272"/>
  <c r="D26" i="272"/>
  <c r="D30" i="272"/>
  <c r="D31" i="272"/>
  <c r="D39" i="272"/>
  <c r="D40" i="272"/>
  <c r="C32" i="272"/>
  <c r="C31" i="272"/>
  <c r="C30"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s="1"/>
  <c r="I32" i="182"/>
  <c r="J32" i="182" s="1"/>
  <c r="I31" i="182"/>
  <c r="J31" i="182" s="1"/>
  <c r="I30" i="182"/>
  <c r="J30" i="182" s="1"/>
  <c r="I29" i="182"/>
  <c r="J29" i="182" s="1"/>
  <c r="I28" i="182"/>
  <c r="J28" i="182" s="1"/>
  <c r="I27" i="182"/>
  <c r="J27" i="182" s="1"/>
  <c r="I26" i="182"/>
  <c r="J26" i="182" s="1"/>
  <c r="I25" i="182"/>
  <c r="J25" i="182" s="1"/>
  <c r="I21" i="182"/>
  <c r="J21" i="182"/>
  <c r="I20" i="182"/>
  <c r="J20" i="182" s="1"/>
  <c r="I18" i="182"/>
  <c r="J18" i="182" s="1"/>
  <c r="I17" i="182"/>
  <c r="J17" i="182" s="1"/>
  <c r="I16" i="182"/>
  <c r="J16" i="182" s="1"/>
  <c r="I15" i="182"/>
  <c r="J15" i="182"/>
  <c r="I12" i="182"/>
  <c r="J12" i="182" s="1"/>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s="1"/>
  <c r="I259" i="324"/>
  <c r="J259" i="324" s="1"/>
  <c r="I258" i="324"/>
  <c r="J258" i="324"/>
  <c r="I257" i="324"/>
  <c r="J257" i="324"/>
  <c r="I256" i="324"/>
  <c r="J256" i="324" s="1"/>
  <c r="I255" i="324"/>
  <c r="J255" i="324"/>
  <c r="I254" i="324"/>
  <c r="J254" i="324"/>
  <c r="I252" i="324"/>
  <c r="J252" i="324"/>
  <c r="I251" i="324"/>
  <c r="J251" i="324"/>
  <c r="I250" i="324"/>
  <c r="J250" i="324"/>
  <c r="I249" i="324"/>
  <c r="J249" i="324"/>
  <c r="I248" i="324"/>
  <c r="J248" i="324"/>
  <c r="I247" i="324"/>
  <c r="J247" i="324"/>
  <c r="I246" i="324"/>
  <c r="J246" i="324"/>
  <c r="I245" i="324"/>
  <c r="J245" i="324" s="1"/>
  <c r="I244" i="324"/>
  <c r="J244" i="324" s="1"/>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c r="J43" i="268"/>
  <c r="H47" i="268"/>
  <c r="H53" i="268"/>
  <c r="F43" i="268"/>
  <c r="F47" i="268"/>
  <c r="F63" i="268" s="1"/>
  <c r="F53" i="268"/>
  <c r="E43" i="268"/>
  <c r="E47" i="268"/>
  <c r="E53" i="268"/>
  <c r="D43" i="268"/>
  <c r="D47" i="268"/>
  <c r="D53" i="268"/>
  <c r="C43" i="268"/>
  <c r="C47" i="268"/>
  <c r="C53" i="268"/>
  <c r="C63" i="268" s="1"/>
  <c r="I62" i="268"/>
  <c r="J62" i="268"/>
  <c r="I61" i="268"/>
  <c r="J61" i="268"/>
  <c r="I60" i="268"/>
  <c r="J60" i="268"/>
  <c r="I59" i="268"/>
  <c r="J59" i="268"/>
  <c r="I58" i="268"/>
  <c r="J58" i="268" s="1"/>
  <c r="I56" i="268"/>
  <c r="J56" i="268"/>
  <c r="I55" i="268"/>
  <c r="J55" i="268" s="1"/>
  <c r="I54" i="268"/>
  <c r="J54" i="268"/>
  <c r="I52" i="268"/>
  <c r="J52" i="268"/>
  <c r="I51" i="268"/>
  <c r="J51" i="268" s="1"/>
  <c r="I50" i="268"/>
  <c r="J50" i="268"/>
  <c r="I49" i="268"/>
  <c r="J49" i="268"/>
  <c r="I48" i="268"/>
  <c r="J48" i="268"/>
  <c r="I46" i="268"/>
  <c r="J46" i="268"/>
  <c r="I45" i="268"/>
  <c r="J45" i="268"/>
  <c r="I44" i="268"/>
  <c r="J44" i="268"/>
  <c r="I73" i="268"/>
  <c r="J73" i="268" s="1"/>
  <c r="I72" i="268"/>
  <c r="J72" i="268" s="1"/>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E43" i="178" s="1"/>
  <c r="E54" i="178" s="1"/>
  <c r="A49" i="178"/>
  <c r="A2" i="178"/>
  <c r="G3" i="178"/>
  <c r="F3" i="178"/>
  <c r="E3" i="178"/>
  <c r="D3" i="178"/>
  <c r="C3" i="178"/>
  <c r="B2" i="178"/>
  <c r="F40" i="178"/>
  <c r="E41" i="178"/>
  <c r="I7" i="177"/>
  <c r="J7" i="177" s="1"/>
  <c r="I10" i="177"/>
  <c r="J10" i="177" s="1"/>
  <c r="I11" i="177"/>
  <c r="J11" i="177"/>
  <c r="I12" i="177"/>
  <c r="J12" i="177" s="1"/>
  <c r="I13" i="177"/>
  <c r="J13" i="177"/>
  <c r="I15" i="177"/>
  <c r="J15" i="177" s="1"/>
  <c r="I16" i="177"/>
  <c r="J16" i="177" s="1"/>
  <c r="I17" i="177"/>
  <c r="J17" i="177" s="1"/>
  <c r="E83" i="100"/>
  <c r="B83" i="100"/>
  <c r="I32" i="177"/>
  <c r="J32" i="177"/>
  <c r="I33" i="177"/>
  <c r="J33" i="177"/>
  <c r="I34" i="177"/>
  <c r="J34" i="177"/>
  <c r="I36" i="177"/>
  <c r="J36" i="177" s="1"/>
  <c r="J35" i="177"/>
  <c r="I22" i="177"/>
  <c r="J22" i="177"/>
  <c r="I27" i="177"/>
  <c r="J27" i="177" s="1"/>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H17" i="180"/>
  <c r="B39" i="172"/>
  <c r="F16" i="180"/>
  <c r="B38" i="172" s="1"/>
  <c r="F15" i="180"/>
  <c r="I15" i="180" s="1"/>
  <c r="B37" i="172"/>
  <c r="F14" i="180"/>
  <c r="I14" i="180" s="1"/>
  <c r="F13" i="180"/>
  <c r="H13" i="180" s="1"/>
  <c r="F12" i="180"/>
  <c r="I12" i="180" s="1"/>
  <c r="H12" i="180"/>
  <c r="F11" i="180"/>
  <c r="B33" i="172" s="1"/>
  <c r="F10" i="180"/>
  <c r="F9" i="180"/>
  <c r="B31" i="172" s="1"/>
  <c r="F8" i="180"/>
  <c r="J8" i="180"/>
  <c r="F7" i="180"/>
  <c r="B29" i="172"/>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G53" i="172"/>
  <c r="B15" i="251"/>
  <c r="B10" i="251"/>
  <c r="B5" i="251"/>
  <c r="A41" i="251"/>
  <c r="B2" i="251"/>
  <c r="A2" i="251"/>
  <c r="E93" i="100"/>
  <c r="A5" i="181"/>
  <c r="G36" i="181"/>
  <c r="H36" i="181"/>
  <c r="H38" i="181" s="1"/>
  <c r="H42" i="181" s="1"/>
  <c r="H44" i="181" s="1"/>
  <c r="I43" i="181"/>
  <c r="J43" i="181"/>
  <c r="I41" i="181"/>
  <c r="J41" i="181"/>
  <c r="I40" i="181"/>
  <c r="J40" i="181"/>
  <c r="I39" i="181"/>
  <c r="J39" i="181"/>
  <c r="I35" i="181"/>
  <c r="J35" i="181"/>
  <c r="I34" i="181"/>
  <c r="J34" i="181" s="1"/>
  <c r="I33" i="181"/>
  <c r="J33" i="181" s="1"/>
  <c r="I32" i="181"/>
  <c r="J32" i="181"/>
  <c r="I31" i="181"/>
  <c r="J31" i="181" s="1"/>
  <c r="I30" i="181"/>
  <c r="J30" i="181" s="1"/>
  <c r="I29" i="181"/>
  <c r="J29" i="181" s="1"/>
  <c r="I28" i="181"/>
  <c r="J28" i="181" s="1"/>
  <c r="I27" i="181"/>
  <c r="J27" i="181" s="1"/>
  <c r="I26" i="181"/>
  <c r="J26" i="181" s="1"/>
  <c r="I25" i="181"/>
  <c r="J25" i="181" s="1"/>
  <c r="I21" i="181"/>
  <c r="J21" i="181"/>
  <c r="I20" i="181"/>
  <c r="J20" i="181" s="1"/>
  <c r="I19" i="181"/>
  <c r="J19" i="181" s="1"/>
  <c r="I18" i="181"/>
  <c r="J18" i="181" s="1"/>
  <c r="I17" i="181"/>
  <c r="J17" i="181" s="1"/>
  <c r="I16" i="181"/>
  <c r="J16" i="181" s="1"/>
  <c r="I15" i="181"/>
  <c r="J15" i="181" s="1"/>
  <c r="I14" i="181"/>
  <c r="J14" i="181" s="1"/>
  <c r="I13" i="181"/>
  <c r="J13" i="181" s="1"/>
  <c r="I12" i="181"/>
  <c r="J12" i="181" s="1"/>
  <c r="I10" i="181"/>
  <c r="J10" i="181" s="1"/>
  <c r="I9" i="181"/>
  <c r="J9" i="181"/>
  <c r="I8" i="181"/>
  <c r="J8" i="181"/>
  <c r="I7" i="181"/>
  <c r="J7" i="181" s="1"/>
  <c r="I6" i="181"/>
  <c r="J6" i="181" s="1"/>
  <c r="K36" i="181"/>
  <c r="F36" i="181"/>
  <c r="E36" i="181"/>
  <c r="D36"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7" i="174" s="1"/>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G53" i="174"/>
  <c r="G14" i="174"/>
  <c r="F53" i="174"/>
  <c r="F14" i="174"/>
  <c r="E53" i="174"/>
  <c r="E14" i="174"/>
  <c r="H51" i="174"/>
  <c r="H50" i="174"/>
  <c r="G51" i="174"/>
  <c r="G50" i="174"/>
  <c r="F51" i="174"/>
  <c r="F50" i="174"/>
  <c r="E51" i="174"/>
  <c r="E11" i="174"/>
  <c r="E50" i="174"/>
  <c r="D51" i="174"/>
  <c r="D11" i="174"/>
  <c r="D50" i="174"/>
  <c r="H48" i="174"/>
  <c r="H49" i="174"/>
  <c r="H10"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c r="H27" i="175"/>
  <c r="G21" i="175"/>
  <c r="F21" i="175"/>
  <c r="E21" i="175"/>
  <c r="D21" i="175"/>
  <c r="C21" i="175"/>
  <c r="C26" i="175" s="1"/>
  <c r="C27" i="175" s="1"/>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s="1"/>
  <c r="H41" i="270"/>
  <c r="F41" i="270"/>
  <c r="F69" i="270"/>
  <c r="E41" i="270"/>
  <c r="E69" i="270"/>
  <c r="E71" i="270"/>
  <c r="D41" i="270"/>
  <c r="G27" i="270"/>
  <c r="I27" i="270"/>
  <c r="J27" i="270"/>
  <c r="H27" i="270"/>
  <c r="I28" i="270"/>
  <c r="J28" i="270"/>
  <c r="I29" i="270"/>
  <c r="J29" i="270"/>
  <c r="G30" i="270"/>
  <c r="H30" i="270"/>
  <c r="I31" i="270"/>
  <c r="J31" i="270"/>
  <c r="I37" i="270"/>
  <c r="J37" i="270"/>
  <c r="K8" i="270"/>
  <c r="K20" i="270"/>
  <c r="K27" i="270"/>
  <c r="K30" i="270"/>
  <c r="H8" i="270"/>
  <c r="H38" i="270"/>
  <c r="H71" i="270"/>
  <c r="H20" i="270"/>
  <c r="G8" i="270"/>
  <c r="G38" i="270" s="1"/>
  <c r="G20" i="270"/>
  <c r="F8" i="270"/>
  <c r="F38" i="270" s="1"/>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I41" i="270" s="1"/>
  <c r="I47" i="270"/>
  <c r="J47" i="270"/>
  <c r="I48" i="270"/>
  <c r="I49" i="270"/>
  <c r="J49" i="270"/>
  <c r="I50" i="270"/>
  <c r="J50" i="270"/>
  <c r="I51" i="270"/>
  <c r="J51" i="270"/>
  <c r="I58" i="270"/>
  <c r="J58" i="270"/>
  <c r="I68" i="270"/>
  <c r="J68" i="270"/>
  <c r="I9" i="270"/>
  <c r="J9" i="270"/>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s="1"/>
  <c r="K31" i="269"/>
  <c r="H31" i="269"/>
  <c r="H47" i="269"/>
  <c r="G31" i="269"/>
  <c r="G47" i="269" s="1"/>
  <c r="F31" i="269"/>
  <c r="F47" i="269" s="1"/>
  <c r="E31" i="269"/>
  <c r="E47" i="269"/>
  <c r="D31" i="269"/>
  <c r="D47" i="269"/>
  <c r="C31" i="269"/>
  <c r="K8" i="269"/>
  <c r="K16" i="269"/>
  <c r="K22" i="269"/>
  <c r="K25" i="269"/>
  <c r="I9" i="269"/>
  <c r="I10" i="269"/>
  <c r="J10" i="269" s="1"/>
  <c r="I11" i="269"/>
  <c r="J11" i="269"/>
  <c r="I12" i="269"/>
  <c r="J12" i="269" s="1"/>
  <c r="I13" i="269"/>
  <c r="I14" i="269"/>
  <c r="J14" i="269"/>
  <c r="I15" i="269"/>
  <c r="J15" i="269" s="1"/>
  <c r="I17" i="269"/>
  <c r="I18" i="269"/>
  <c r="J18" i="269"/>
  <c r="I19" i="269"/>
  <c r="J19" i="269"/>
  <c r="I20" i="269"/>
  <c r="J20" i="269"/>
  <c r="I21" i="269"/>
  <c r="J21" i="269"/>
  <c r="G22" i="269"/>
  <c r="I22" i="269"/>
  <c r="J22" i="269"/>
  <c r="H22" i="269"/>
  <c r="G25" i="269"/>
  <c r="I25" i="269"/>
  <c r="H25" i="269"/>
  <c r="H8" i="269"/>
  <c r="H28" i="269"/>
  <c r="H16" i="269"/>
  <c r="G8" i="269"/>
  <c r="G28" i="269" s="1"/>
  <c r="G16" i="269"/>
  <c r="F8" i="269"/>
  <c r="F28" i="269" s="1"/>
  <c r="F16" i="269"/>
  <c r="F22" i="269"/>
  <c r="F25" i="269"/>
  <c r="E8" i="269"/>
  <c r="E28" i="269"/>
  <c r="E16" i="269"/>
  <c r="E25" i="269"/>
  <c r="D8" i="269"/>
  <c r="D28" i="269"/>
  <c r="D16" i="269"/>
  <c r="D22" i="269"/>
  <c r="D25" i="269"/>
  <c r="C8" i="269"/>
  <c r="C28" i="269"/>
  <c r="C49"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J99" i="318"/>
  <c r="G30" i="318"/>
  <c r="G46" i="318"/>
  <c r="G83" i="318"/>
  <c r="G99" i="318"/>
  <c r="I99" i="318"/>
  <c r="F30" i="318"/>
  <c r="F46" i="318"/>
  <c r="F83" i="318"/>
  <c r="F99" i="318"/>
  <c r="G14" i="318"/>
  <c r="G67" i="318"/>
  <c r="G102" i="318"/>
  <c r="H14" i="318"/>
  <c r="I14" i="318"/>
  <c r="J14" i="318" s="1"/>
  <c r="H67" i="318"/>
  <c r="H102" i="318"/>
  <c r="K14" i="318"/>
  <c r="K30" i="318"/>
  <c r="K46" i="318"/>
  <c r="K67" i="318"/>
  <c r="K102" i="318"/>
  <c r="K83" i="318"/>
  <c r="K99" i="318"/>
  <c r="K100" i="318"/>
  <c r="E14" i="318"/>
  <c r="E30" i="318"/>
  <c r="E31" i="318" s="1"/>
  <c r="E46" i="318"/>
  <c r="E106" i="318" s="1"/>
  <c r="E67" i="318"/>
  <c r="E83" i="318"/>
  <c r="E84" i="318"/>
  <c r="E99" i="318"/>
  <c r="E100" i="318"/>
  <c r="D14" i="318"/>
  <c r="D30" i="318"/>
  <c r="D46" i="318"/>
  <c r="D67" i="318"/>
  <c r="D68" i="318"/>
  <c r="D83" i="318"/>
  <c r="D84" i="318"/>
  <c r="D99" i="318"/>
  <c r="D100" i="318"/>
  <c r="C83" i="318"/>
  <c r="C14" i="318"/>
  <c r="E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s="1"/>
  <c r="I13" i="318"/>
  <c r="J13" i="318"/>
  <c r="I9" i="318"/>
  <c r="J9" i="318"/>
  <c r="I8" i="318"/>
  <c r="J8" i="318"/>
  <c r="I7" i="318"/>
  <c r="J7" i="318" s="1"/>
  <c r="C30" i="318"/>
  <c r="C46" i="318"/>
  <c r="D47" i="318"/>
  <c r="K3" i="318"/>
  <c r="J3" i="318"/>
  <c r="I3" i="318"/>
  <c r="H3" i="318"/>
  <c r="G3" i="318"/>
  <c r="F3" i="318"/>
  <c r="E3" i="318"/>
  <c r="D3" i="318"/>
  <c r="C3" i="318"/>
  <c r="B2" i="318"/>
  <c r="F14" i="318"/>
  <c r="C67" i="318"/>
  <c r="C102" i="318"/>
  <c r="F67" i="318"/>
  <c r="C99" i="318"/>
  <c r="A107" i="318"/>
  <c r="P46" i="317"/>
  <c r="P65" i="317"/>
  <c r="O46" i="317"/>
  <c r="O65" i="317"/>
  <c r="O55" i="317"/>
  <c r="Q46" i="317"/>
  <c r="Q52" i="317"/>
  <c r="D46" i="317"/>
  <c r="D52" i="317"/>
  <c r="C46" i="317"/>
  <c r="C52" i="317"/>
  <c r="E46" i="317"/>
  <c r="E65" i="317" s="1"/>
  <c r="F46" i="317"/>
  <c r="F52" i="317" s="1"/>
  <c r="G46" i="317"/>
  <c r="G65" i="317" s="1"/>
  <c r="G52" i="317"/>
  <c r="H46" i="317"/>
  <c r="H52" i="317"/>
  <c r="I33" i="317"/>
  <c r="I46" i="317"/>
  <c r="I65" i="317"/>
  <c r="J46" i="317"/>
  <c r="J65" i="317"/>
  <c r="K46" i="317"/>
  <c r="K65" i="317"/>
  <c r="L46" i="317"/>
  <c r="L52" i="317"/>
  <c r="M33"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11" i="180"/>
  <c r="E38" i="181"/>
  <c r="E42" i="181" s="1"/>
  <c r="E44" i="181" s="1"/>
  <c r="F11" i="174"/>
  <c r="G41" i="178"/>
  <c r="H27" i="268"/>
  <c r="I275" i="324"/>
  <c r="I33" i="268"/>
  <c r="J33" i="268"/>
  <c r="H35" i="268"/>
  <c r="I319" i="324"/>
  <c r="Q340" i="323"/>
  <c r="I29" i="183"/>
  <c r="J29" i="183"/>
  <c r="J275" i="324"/>
  <c r="M342" i="324"/>
  <c r="I32" i="272"/>
  <c r="J32" i="272"/>
  <c r="T340" i="323"/>
  <c r="I18" i="272"/>
  <c r="J18" i="272"/>
  <c r="I16" i="272"/>
  <c r="J16" i="272"/>
  <c r="J6" i="180"/>
  <c r="F9" i="241"/>
  <c r="G45" i="241"/>
  <c r="D21" i="241"/>
  <c r="D20" i="241"/>
  <c r="L65" i="317"/>
  <c r="I176" i="324"/>
  <c r="I24" i="268"/>
  <c r="J24" i="268"/>
  <c r="I264" i="324"/>
  <c r="I330" i="324"/>
  <c r="B79" i="100"/>
  <c r="B96" i="100"/>
  <c r="B97" i="100"/>
  <c r="J176" i="324"/>
  <c r="K49"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I10" i="268"/>
  <c r="J10" i="268"/>
  <c r="I18" i="268"/>
  <c r="J18" i="268"/>
  <c r="I67" i="318"/>
  <c r="J67" i="318"/>
  <c r="I35" i="268"/>
  <c r="J35" i="268"/>
  <c r="J220" i="324"/>
  <c r="G6" i="272"/>
  <c r="D7" i="272"/>
  <c r="A127" i="323"/>
  <c r="I36" i="268"/>
  <c r="J36" i="268"/>
  <c r="J308" i="324"/>
  <c r="A33" i="268"/>
  <c r="A29" i="268"/>
  <c r="A25" i="268"/>
  <c r="I209" i="324"/>
  <c r="J209" i="324"/>
  <c r="I27" i="268"/>
  <c r="J27" i="268"/>
  <c r="I37" i="268"/>
  <c r="J37" i="268"/>
  <c r="J319" i="324"/>
  <c r="J52" i="317"/>
  <c r="K7" i="241"/>
  <c r="K6" i="241"/>
  <c r="G19" i="241"/>
  <c r="H30" i="241"/>
  <c r="B81" i="100"/>
  <c r="A31" i="268"/>
  <c r="A61" i="323"/>
  <c r="A27" i="268"/>
  <c r="A62" i="324"/>
  <c r="F8" i="334"/>
  <c r="G9" i="334"/>
  <c r="F25" i="334"/>
  <c r="G25" i="334"/>
  <c r="F41" i="334"/>
  <c r="G41" i="334"/>
  <c r="G45" i="334"/>
  <c r="F22" i="334"/>
  <c r="G22" i="334"/>
  <c r="D38" i="268"/>
  <c r="J25" i="269"/>
  <c r="I16" i="183"/>
  <c r="J16" i="183"/>
  <c r="K9" i="268"/>
  <c r="F7" i="268"/>
  <c r="F172" i="324"/>
  <c r="G16" i="268"/>
  <c r="J117" i="324"/>
  <c r="H29" i="268"/>
  <c r="H16" i="268"/>
  <c r="I16" i="268"/>
  <c r="J16" i="268"/>
  <c r="H172" i="324"/>
  <c r="F24" i="268"/>
  <c r="K84" i="318"/>
  <c r="D17" i="272"/>
  <c r="K68" i="318"/>
  <c r="J33" i="269"/>
  <c r="A38" i="334"/>
  <c r="A38" i="269"/>
  <c r="D106" i="318"/>
  <c r="C47" i="269"/>
  <c r="F39" i="267"/>
  <c r="J26" i="175"/>
  <c r="J27" i="175"/>
  <c r="I50" i="267"/>
  <c r="I53" i="172"/>
  <c r="K47" i="269"/>
  <c r="O342" i="324"/>
  <c r="C31" i="183"/>
  <c r="G11" i="174"/>
  <c r="K28" i="269"/>
  <c r="K49" i="269"/>
  <c r="H15" i="272"/>
  <c r="I15" i="272"/>
  <c r="I105" i="323"/>
  <c r="J105" i="323"/>
  <c r="G29" i="267"/>
  <c r="J29" i="267"/>
  <c r="J33" i="267"/>
  <c r="W340" i="323"/>
  <c r="C172" i="324"/>
  <c r="A218" i="323"/>
  <c r="A10" i="268"/>
  <c r="K24" i="268"/>
  <c r="I31" i="183"/>
  <c r="J31" i="183"/>
  <c r="J15" i="272"/>
  <c r="I29" i="268"/>
  <c r="J29" i="268"/>
  <c r="J231" i="324"/>
  <c r="B100" i="100"/>
  <c r="K117" i="326"/>
  <c r="J130" i="326"/>
  <c r="I63" i="335"/>
  <c r="J63" i="335"/>
  <c r="I99" i="335"/>
  <c r="J99" i="335"/>
  <c r="G110" i="335"/>
  <c r="I130" i="335"/>
  <c r="J130" i="335"/>
  <c r="I157" i="335"/>
  <c r="J15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60" i="325"/>
  <c r="J160" i="325"/>
  <c r="I163" i="325"/>
  <c r="J163" i="325"/>
  <c r="I69" i="325"/>
  <c r="J69" i="325"/>
  <c r="C75" i="325"/>
  <c r="I135" i="325"/>
  <c r="J135" i="325"/>
  <c r="I103" i="325"/>
  <c r="J103" i="325"/>
  <c r="I111" i="325"/>
  <c r="J111" i="325"/>
  <c r="J45" i="325"/>
  <c r="H110" i="325"/>
  <c r="I110" i="325"/>
  <c r="J110" i="325"/>
  <c r="I27" i="325"/>
  <c r="J27" i="325"/>
  <c r="H75" i="325"/>
  <c r="I75" i="325"/>
  <c r="J75" i="325"/>
  <c r="F110" i="325"/>
  <c r="E110" i="325"/>
  <c r="I63" i="325"/>
  <c r="J63"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99" i="242"/>
  <c r="J99" i="242"/>
  <c r="I27" i="242"/>
  <c r="J27" i="242"/>
  <c r="F75" i="242"/>
  <c r="I38" i="242"/>
  <c r="J38" i="242"/>
  <c r="K128" i="330"/>
  <c r="I214" i="330"/>
  <c r="J214" i="330"/>
  <c r="K148" i="330"/>
  <c r="I118" i="330"/>
  <c r="J118" i="330"/>
  <c r="I24" i="330"/>
  <c r="J24" i="330"/>
  <c r="K34" i="241"/>
  <c r="I108" i="330"/>
  <c r="J108" i="330"/>
  <c r="K30" i="241"/>
  <c r="K29" i="241"/>
  <c r="I100" i="330"/>
  <c r="J100" i="330" s="1"/>
  <c r="I92" i="330"/>
  <c r="J92" i="330"/>
  <c r="D11" i="241"/>
  <c r="C21" i="241"/>
  <c r="I226" i="330"/>
  <c r="J226" i="330"/>
  <c r="F22" i="241"/>
  <c r="G9" i="241"/>
  <c r="I9" i="241"/>
  <c r="J9" i="241"/>
  <c r="K197" i="330"/>
  <c r="K6" i="330"/>
  <c r="E75" i="330"/>
  <c r="D99" i="330"/>
  <c r="H7" i="333"/>
  <c r="J117" i="326"/>
  <c r="H7" i="326"/>
  <c r="I75" i="242"/>
  <c r="J75" i="242"/>
  <c r="I53" i="242"/>
  <c r="J53" i="242"/>
  <c r="I114" i="242"/>
  <c r="J114" i="242"/>
  <c r="D36" i="241"/>
  <c r="G7" i="333"/>
  <c r="I53" i="325"/>
  <c r="J53" i="325" s="1"/>
  <c r="C221" i="330"/>
  <c r="I7" i="326"/>
  <c r="J7" i="326"/>
  <c r="G166" i="326"/>
  <c r="F102" i="318"/>
  <c r="A41" i="269"/>
  <c r="A41" i="334"/>
  <c r="I16" i="269"/>
  <c r="J16" i="269"/>
  <c r="J17" i="269"/>
  <c r="B104" i="172"/>
  <c r="I34" i="268"/>
  <c r="J34" i="268"/>
  <c r="J286" i="324"/>
  <c r="D31" i="183"/>
  <c r="E7" i="272"/>
  <c r="D8" i="268"/>
  <c r="D21" i="268"/>
  <c r="D172" i="324"/>
  <c r="G9" i="268"/>
  <c r="I9" i="268"/>
  <c r="J9" i="268"/>
  <c r="I40" i="324"/>
  <c r="J40" i="324"/>
  <c r="I84" i="324"/>
  <c r="J84" i="324"/>
  <c r="H13" i="268"/>
  <c r="I13" i="268"/>
  <c r="J13" i="268"/>
  <c r="K10" i="268"/>
  <c r="K172" i="324"/>
  <c r="C38" i="268"/>
  <c r="J48" i="270"/>
  <c r="G8" i="334"/>
  <c r="I7" i="333"/>
  <c r="J7" i="333"/>
  <c r="E166" i="326"/>
  <c r="I30" i="270"/>
  <c r="J30" i="270"/>
  <c r="J16" i="270"/>
  <c r="I47" i="268"/>
  <c r="J47" i="268" s="1"/>
  <c r="F38" i="334"/>
  <c r="G38" i="334"/>
  <c r="G39" i="334"/>
  <c r="I38" i="268"/>
  <c r="J38" i="268"/>
  <c r="J330" i="324"/>
  <c r="K38" i="270"/>
  <c r="F40" i="267"/>
  <c r="G49" i="174"/>
  <c r="G10" i="174"/>
  <c r="C6" i="272"/>
  <c r="C40" i="267"/>
  <c r="E49" i="174"/>
  <c r="E10" i="174"/>
  <c r="G48" i="241"/>
  <c r="I240" i="330"/>
  <c r="J240" i="330"/>
  <c r="E172" i="324"/>
  <c r="H35" i="272"/>
  <c r="I35" i="272"/>
  <c r="J35" i="272"/>
  <c r="I295" i="323"/>
  <c r="J295" i="323"/>
  <c r="I130" i="333"/>
  <c r="J130" i="333"/>
  <c r="H117" i="333"/>
  <c r="I117" i="333"/>
  <c r="J117" i="333"/>
  <c r="I32" i="268"/>
  <c r="J32" i="268"/>
  <c r="J264" i="324"/>
  <c r="I102" i="318"/>
  <c r="J102" i="318"/>
  <c r="C38" i="270"/>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I20" i="270"/>
  <c r="J20" i="270"/>
  <c r="J21" i="270"/>
  <c r="H69" i="270"/>
  <c r="I59" i="270"/>
  <c r="J59" i="270"/>
  <c r="F38" i="267"/>
  <c r="F41" i="178"/>
  <c r="H14" i="272"/>
  <c r="I14" i="272"/>
  <c r="J14" i="272"/>
  <c r="I94" i="323"/>
  <c r="J94" i="323"/>
  <c r="D45" i="174"/>
  <c r="J36" i="267"/>
  <c r="H52" i="174"/>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H26" i="268"/>
  <c r="I198" i="324"/>
  <c r="K11" i="241"/>
  <c r="G117" i="333"/>
  <c r="G166" i="333"/>
  <c r="I118" i="333"/>
  <c r="J118" i="333"/>
  <c r="C166" i="326"/>
  <c r="I148" i="242"/>
  <c r="J148" i="242"/>
  <c r="I17" i="268"/>
  <c r="J17" i="268"/>
  <c r="G25" i="268"/>
  <c r="I187" i="324"/>
  <c r="A207" i="323"/>
  <c r="C28" i="334"/>
  <c r="C49" i="334"/>
  <c r="G32" i="334"/>
  <c r="F31" i="334"/>
  <c r="G138" i="242"/>
  <c r="I138" i="242"/>
  <c r="J138" i="242"/>
  <c r="I140" i="242"/>
  <c r="J140" i="242"/>
  <c r="H75" i="326"/>
  <c r="I76" i="326"/>
  <c r="J76" i="326"/>
  <c r="G110" i="326"/>
  <c r="I110" i="326"/>
  <c r="J110" i="326"/>
  <c r="I111" i="326"/>
  <c r="J111" i="326"/>
  <c r="C75" i="333"/>
  <c r="I6" i="323"/>
  <c r="J6" i="323"/>
  <c r="H50" i="267"/>
  <c r="H53" i="172"/>
  <c r="I26" i="175"/>
  <c r="I27" i="175"/>
  <c r="B39" i="267"/>
  <c r="J38" i="267"/>
  <c r="H53" i="174"/>
  <c r="B99" i="100"/>
  <c r="B94" i="100"/>
  <c r="I15" i="268"/>
  <c r="J15" i="268"/>
  <c r="A18" i="268"/>
  <c r="A18" i="272"/>
  <c r="A251" i="323"/>
  <c r="A13" i="272"/>
  <c r="D28" i="334"/>
  <c r="D49" i="334"/>
  <c r="K110" i="325"/>
  <c r="K7" i="335"/>
  <c r="I53" i="333"/>
  <c r="J53" i="333"/>
  <c r="Q342" i="324"/>
  <c r="I104" i="330"/>
  <c r="J104" i="330"/>
  <c r="I13" i="242"/>
  <c r="J13" i="242"/>
  <c r="B3" i="100"/>
  <c r="D2" i="270"/>
  <c r="I6" i="272"/>
  <c r="B98" i="100"/>
  <c r="A176" i="324"/>
  <c r="A28" i="268"/>
  <c r="A13" i="268"/>
  <c r="A84" i="324"/>
  <c r="A7" i="324"/>
  <c r="A138" i="323"/>
  <c r="A50" i="323"/>
  <c r="B77" i="100"/>
  <c r="B93" i="100"/>
  <c r="I83" i="318"/>
  <c r="J83" i="318"/>
  <c r="E31" i="183"/>
  <c r="G52" i="174"/>
  <c r="G13" i="174"/>
  <c r="F26" i="178"/>
  <c r="F43" i="178"/>
  <c r="F54" i="178"/>
  <c r="C38" i="267"/>
  <c r="J44" i="267"/>
  <c r="K21" i="268"/>
  <c r="G34" i="272"/>
  <c r="I34" i="272"/>
  <c r="J34" i="272"/>
  <c r="I284" i="323"/>
  <c r="J284" i="323"/>
  <c r="A35" i="268"/>
  <c r="A35" i="272"/>
  <c r="A297" i="324"/>
  <c r="A14" i="268"/>
  <c r="A24" i="268"/>
  <c r="E28" i="334"/>
  <c r="E49" i="334"/>
  <c r="G46" i="334"/>
  <c r="D7" i="242"/>
  <c r="M340" i="323"/>
  <c r="C110" i="325"/>
  <c r="I114" i="325"/>
  <c r="J114" i="325"/>
  <c r="I8" i="333"/>
  <c r="J8" i="333"/>
  <c r="I140" i="325"/>
  <c r="J140" i="325"/>
  <c r="I135" i="335"/>
  <c r="J135" i="335"/>
  <c r="I53" i="335"/>
  <c r="J53" i="335"/>
  <c r="H166" i="333"/>
  <c r="I166" i="333"/>
  <c r="J166" i="333"/>
  <c r="J6" i="272"/>
  <c r="G31" i="334"/>
  <c r="F47" i="334"/>
  <c r="G47" i="334"/>
  <c r="G39" i="174"/>
  <c r="I75" i="326"/>
  <c r="J75" i="326"/>
  <c r="H166" i="326"/>
  <c r="I25" i="268"/>
  <c r="J187" i="324"/>
  <c r="I172" i="324"/>
  <c r="J172" i="324"/>
  <c r="F28" i="334"/>
  <c r="I26" i="268"/>
  <c r="J26" i="268"/>
  <c r="J198" i="324"/>
  <c r="G21" i="268"/>
  <c r="I6" i="268"/>
  <c r="J25" i="268"/>
  <c r="F49" i="334"/>
  <c r="G49" i="334"/>
  <c r="G28" i="334"/>
  <c r="I166" i="326"/>
  <c r="J166" i="326"/>
  <c r="I21" i="268"/>
  <c r="J21" i="268"/>
  <c r="J6" i="268"/>
  <c r="I48" i="241"/>
  <c r="J48" i="241"/>
  <c r="I45" i="241"/>
  <c r="J45" i="241"/>
  <c r="I19" i="241"/>
  <c r="J19" i="241"/>
  <c r="I23" i="241"/>
  <c r="J23" i="241"/>
  <c r="K221" i="330"/>
  <c r="K16" i="241"/>
  <c r="I42" i="241"/>
  <c r="J42" i="241"/>
  <c r="K39" i="241"/>
  <c r="I7" i="330"/>
  <c r="J7" i="330"/>
  <c r="I7" i="241"/>
  <c r="J7" i="241"/>
  <c r="B4" i="331"/>
  <c r="B8" i="331"/>
  <c r="A1" i="33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D7" i="335"/>
  <c r="D166" i="335"/>
  <c r="D75" i="333"/>
  <c r="D166" i="333"/>
  <c r="E7" i="333"/>
  <c r="E166" i="333"/>
  <c r="D166" i="325"/>
  <c r="D166" i="242"/>
  <c r="D49" i="318"/>
  <c r="E49" i="269"/>
  <c r="D49" i="269"/>
  <c r="D71" i="270"/>
  <c r="F49" i="174"/>
  <c r="F10" i="174" s="1"/>
  <c r="D41" i="178"/>
  <c r="E13" i="174"/>
  <c r="C36" i="267"/>
  <c r="D26" i="178"/>
  <c r="C33" i="267"/>
  <c r="D74" i="268"/>
  <c r="D63" i="268"/>
  <c r="D38" i="181"/>
  <c r="D42" i="181"/>
  <c r="D44" i="181"/>
  <c r="E7" i="174"/>
  <c r="D38" i="182"/>
  <c r="D42" i="182"/>
  <c r="D44" i="182"/>
  <c r="D46" i="182"/>
  <c r="D48" i="182"/>
  <c r="H45" i="174"/>
  <c r="H7" i="174"/>
  <c r="C18" i="267"/>
  <c r="C19" i="267"/>
  <c r="C11" i="267"/>
  <c r="E38" i="182"/>
  <c r="E42" i="182" s="1"/>
  <c r="E44" i="182" s="1"/>
  <c r="E46" i="182" s="1"/>
  <c r="E48" i="182" s="1"/>
  <c r="E26" i="174"/>
  <c r="E27" i="174"/>
  <c r="E17" i="174"/>
  <c r="E28" i="174"/>
  <c r="D53" i="182"/>
  <c r="D339" i="323"/>
  <c r="D341" i="323"/>
  <c r="D171" i="323"/>
  <c r="D6" i="272"/>
  <c r="D21" i="272"/>
  <c r="D43" i="241"/>
  <c r="D221" i="330"/>
  <c r="D39" i="241"/>
  <c r="D197" i="330"/>
  <c r="E35" i="241"/>
  <c r="D33" i="241"/>
  <c r="D148" i="330"/>
  <c r="D30" i="241"/>
  <c r="D16" i="241"/>
  <c r="E16" i="241"/>
  <c r="D75" i="330"/>
  <c r="E10" i="241"/>
  <c r="D26" i="330"/>
  <c r="D10" i="241"/>
  <c r="E26" i="330"/>
  <c r="D6" i="330"/>
  <c r="A32" i="272"/>
  <c r="A264" i="324"/>
  <c r="A83" i="323"/>
  <c r="A39" i="323"/>
  <c r="A209" i="324"/>
  <c r="A27" i="272"/>
  <c r="A9" i="272"/>
  <c r="A40" i="324"/>
  <c r="A8" i="268"/>
  <c r="A8" i="272"/>
  <c r="A196" i="323"/>
  <c r="A6" i="272"/>
  <c r="A6" i="268"/>
  <c r="D104" i="318"/>
  <c r="D43" i="178"/>
  <c r="D54" i="178"/>
  <c r="E39" i="174"/>
  <c r="C20" i="267"/>
  <c r="C23" i="267"/>
  <c r="C25" i="267"/>
  <c r="D125" i="330"/>
  <c r="D256" i="330"/>
  <c r="K166" i="335"/>
  <c r="K171" i="242"/>
  <c r="K75" i="333"/>
  <c r="K166" i="333"/>
  <c r="K7" i="325"/>
  <c r="K166" i="325"/>
  <c r="K38" i="181"/>
  <c r="K42" i="181"/>
  <c r="K44" i="181"/>
  <c r="K104"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K171" i="335"/>
  <c r="K86" i="268"/>
  <c r="J28" i="267"/>
  <c r="K171" i="326"/>
  <c r="H28" i="174"/>
  <c r="H27" i="174"/>
  <c r="H17" i="174"/>
  <c r="H26" i="174"/>
  <c r="K341" i="323"/>
  <c r="K40" i="272"/>
  <c r="K50" i="241"/>
  <c r="K248" i="330"/>
  <c r="K256" i="330"/>
  <c r="D31" i="268"/>
  <c r="D39" i="268"/>
  <c r="D40" i="268"/>
  <c r="I196" i="323"/>
  <c r="J196" i="323" s="1"/>
  <c r="D171" i="326"/>
  <c r="C28" i="267"/>
  <c r="D171" i="242"/>
  <c r="E46" i="174"/>
  <c r="E8" i="174"/>
  <c r="D171" i="335"/>
  <c r="D86" i="268"/>
  <c r="H74" i="268"/>
  <c r="J9" i="269"/>
  <c r="C166" i="242"/>
  <c r="I52" i="317"/>
  <c r="H65" i="317"/>
  <c r="H10" i="180"/>
  <c r="H7" i="180"/>
  <c r="I7" i="180"/>
  <c r="J7" i="180"/>
  <c r="B30" i="172"/>
  <c r="I8" i="270"/>
  <c r="G8" i="241"/>
  <c r="G6" i="241" s="1"/>
  <c r="C166" i="333"/>
  <c r="C7" i="325"/>
  <c r="C166" i="325"/>
  <c r="K47" i="318"/>
  <c r="C106" i="318"/>
  <c r="D31" i="318"/>
  <c r="K31" i="318"/>
  <c r="K15" i="318"/>
  <c r="C49" i="318"/>
  <c r="D15" i="318"/>
  <c r="C71" i="270"/>
  <c r="D7" i="174"/>
  <c r="D49" i="174"/>
  <c r="D10" i="174"/>
  <c r="C41" i="178"/>
  <c r="D14" i="174"/>
  <c r="D13" i="174"/>
  <c r="C26" i="178"/>
  <c r="C43" i="178"/>
  <c r="C54" i="178"/>
  <c r="D17" i="174"/>
  <c r="D39" i="174"/>
  <c r="C39" i="268"/>
  <c r="C40" i="268"/>
  <c r="C341" i="324"/>
  <c r="C343" i="324"/>
  <c r="B18" i="267"/>
  <c r="B19" i="267"/>
  <c r="C53" i="182"/>
  <c r="D26" i="174"/>
  <c r="B11" i="267"/>
  <c r="D28" i="174"/>
  <c r="D27" i="174"/>
  <c r="C197" i="330"/>
  <c r="C148" i="330"/>
  <c r="C33" i="241"/>
  <c r="C39" i="272"/>
  <c r="C339" i="323"/>
  <c r="C21" i="272"/>
  <c r="C171" i="323"/>
  <c r="C29" i="241"/>
  <c r="C49" i="241"/>
  <c r="C128" i="330"/>
  <c r="C16" i="241"/>
  <c r="C75" i="330"/>
  <c r="C26" i="330"/>
  <c r="C10" i="241"/>
  <c r="C6" i="330"/>
  <c r="C7" i="241"/>
  <c r="C6" i="241"/>
  <c r="H49" i="269"/>
  <c r="H63" i="268"/>
  <c r="G45" i="267"/>
  <c r="D39" i="177"/>
  <c r="D41" i="177"/>
  <c r="C46" i="267"/>
  <c r="G8" i="180"/>
  <c r="G9" i="180"/>
  <c r="C31" i="172"/>
  <c r="H6" i="180"/>
  <c r="I6" i="180"/>
  <c r="Q54" i="317"/>
  <c r="P52" i="317"/>
  <c r="P54" i="317"/>
  <c r="P66" i="317"/>
  <c r="O52" i="317"/>
  <c r="O54" i="317"/>
  <c r="H54" i="317"/>
  <c r="H66" i="317" s="1"/>
  <c r="M54" i="317"/>
  <c r="M66" i="317"/>
  <c r="L54" i="317"/>
  <c r="L66" i="317"/>
  <c r="I54" i="317"/>
  <c r="I66" i="317"/>
  <c r="C54" i="317"/>
  <c r="C56" i="317"/>
  <c r="D55" i="317"/>
  <c r="K52" i="317"/>
  <c r="J54" i="317"/>
  <c r="J66" i="317"/>
  <c r="J12" i="180"/>
  <c r="I17" i="180"/>
  <c r="J17" i="180"/>
  <c r="C171" i="326"/>
  <c r="C171" i="335"/>
  <c r="J8" i="270"/>
  <c r="I38" i="270"/>
  <c r="C104" i="318"/>
  <c r="D50" i="318"/>
  <c r="K50" i="318"/>
  <c r="D46" i="174"/>
  <c r="D8" i="174"/>
  <c r="C171" i="242"/>
  <c r="B28" i="267"/>
  <c r="B20" i="267"/>
  <c r="B23" i="267"/>
  <c r="B25" i="267"/>
  <c r="C247" i="330"/>
  <c r="C257" i="330"/>
  <c r="C40" i="272"/>
  <c r="C341" i="323"/>
  <c r="C125" i="330"/>
  <c r="C256" i="330"/>
  <c r="C26" i="241"/>
  <c r="C50" i="241"/>
  <c r="C30" i="172"/>
  <c r="G10" i="180"/>
  <c r="C32" i="172"/>
  <c r="G11" i="180"/>
  <c r="O66" i="317"/>
  <c r="O56" i="317"/>
  <c r="P55" i="317"/>
  <c r="P56" i="317"/>
  <c r="Q55" i="317"/>
  <c r="Q56" i="317"/>
  <c r="J38" i="270"/>
  <c r="K105" i="318"/>
  <c r="D105" i="318"/>
  <c r="C248" i="330"/>
  <c r="G12" i="180"/>
  <c r="C33" i="172"/>
  <c r="C34" i="172"/>
  <c r="G13" i="180"/>
  <c r="G14" i="180"/>
  <c r="C35" i="172"/>
  <c r="G15" i="180"/>
  <c r="C36" i="172"/>
  <c r="C37" i="172"/>
  <c r="G16" i="180"/>
  <c r="G17" i="180"/>
  <c r="C39" i="172"/>
  <c r="C38" i="172"/>
  <c r="H39" i="268" l="1"/>
  <c r="H40" i="268" s="1"/>
  <c r="H341" i="324"/>
  <c r="H343" i="324" s="1"/>
  <c r="G28" i="267"/>
  <c r="H86" i="268"/>
  <c r="G33" i="267"/>
  <c r="I57" i="268"/>
  <c r="J57" i="268" s="1"/>
  <c r="I8" i="242"/>
  <c r="J8" i="242" s="1"/>
  <c r="H7" i="335"/>
  <c r="H166" i="335" s="1"/>
  <c r="H171" i="335"/>
  <c r="H171" i="242"/>
  <c r="H171" i="326"/>
  <c r="F7" i="335"/>
  <c r="F7" i="242"/>
  <c r="F166" i="242" s="1"/>
  <c r="G7" i="242"/>
  <c r="G166" i="242" s="1"/>
  <c r="I166" i="242" s="1"/>
  <c r="J166" i="242" s="1"/>
  <c r="G7" i="335"/>
  <c r="I7" i="335" s="1"/>
  <c r="J7" i="335" s="1"/>
  <c r="F166" i="335"/>
  <c r="G138" i="335"/>
  <c r="E7" i="335"/>
  <c r="E166" i="335" s="1"/>
  <c r="E12" i="272"/>
  <c r="E21" i="272" s="1"/>
  <c r="G54" i="317"/>
  <c r="G66" i="317" s="1"/>
  <c r="C53" i="172"/>
  <c r="B50" i="267"/>
  <c r="B61" i="100"/>
  <c r="A1" i="324"/>
  <c r="A1" i="177"/>
  <c r="D64" i="100"/>
  <c r="A1" i="267"/>
  <c r="A1" i="323"/>
  <c r="A1" i="330"/>
  <c r="A1" i="182"/>
  <c r="A1" i="268"/>
  <c r="A1" i="251"/>
  <c r="A1" i="272"/>
  <c r="A1" i="178"/>
  <c r="E166" i="242"/>
  <c r="I218" i="323"/>
  <c r="J218" i="323" s="1"/>
  <c r="I186" i="330"/>
  <c r="J186" i="330" s="1"/>
  <c r="I21" i="241"/>
  <c r="I26" i="272"/>
  <c r="J26" i="272" s="1"/>
  <c r="I185" i="323"/>
  <c r="J185" i="323" s="1"/>
  <c r="H9" i="272"/>
  <c r="I9" i="272" s="1"/>
  <c r="J9" i="272" s="1"/>
  <c r="H12" i="267"/>
  <c r="I12" i="267" s="1"/>
  <c r="H7" i="267"/>
  <c r="I7" i="267" s="1"/>
  <c r="I154" i="325"/>
  <c r="J154" i="325" s="1"/>
  <c r="E47" i="318"/>
  <c r="E49" i="318"/>
  <c r="E39" i="177"/>
  <c r="E41" i="177" s="1"/>
  <c r="D46" i="267" s="1"/>
  <c r="F39" i="174"/>
  <c r="D36" i="267"/>
  <c r="E341" i="324"/>
  <c r="E343" i="324" s="1"/>
  <c r="E39" i="268"/>
  <c r="E40" i="268" s="1"/>
  <c r="D28" i="267" s="1"/>
  <c r="E63" i="268"/>
  <c r="D19" i="267"/>
  <c r="D20" i="267" s="1"/>
  <c r="D23" i="267" s="1"/>
  <c r="D25" i="267" s="1"/>
  <c r="F55" i="174"/>
  <c r="F17" i="174" s="1"/>
  <c r="E339" i="323"/>
  <c r="E341" i="323" s="1"/>
  <c r="E25" i="272"/>
  <c r="E39" i="272" s="1"/>
  <c r="E221" i="330"/>
  <c r="E43" i="241"/>
  <c r="E39" i="241"/>
  <c r="E197" i="330"/>
  <c r="E33" i="241"/>
  <c r="E148" i="330"/>
  <c r="E29" i="241"/>
  <c r="E128" i="330"/>
  <c r="E26" i="241"/>
  <c r="F38" i="181"/>
  <c r="F42" i="181" s="1"/>
  <c r="F44" i="181" s="1"/>
  <c r="J32" i="269"/>
  <c r="I69" i="270"/>
  <c r="J41" i="270"/>
  <c r="J42" i="270"/>
  <c r="G71" i="270"/>
  <c r="F71" i="270"/>
  <c r="I10" i="180"/>
  <c r="B32" i="172"/>
  <c r="H14" i="180"/>
  <c r="J10" i="180"/>
  <c r="I253" i="324"/>
  <c r="I31" i="268" s="1"/>
  <c r="J31" i="268" s="1"/>
  <c r="G39" i="268"/>
  <c r="G40" i="268" s="1"/>
  <c r="I189" i="330"/>
  <c r="J189" i="330" s="1"/>
  <c r="I38" i="241"/>
  <c r="J38" i="241" s="1"/>
  <c r="I146" i="330"/>
  <c r="J146" i="330" s="1"/>
  <c r="H9" i="267"/>
  <c r="I9" i="267" s="1"/>
  <c r="H15" i="267"/>
  <c r="I15" i="267" s="1"/>
  <c r="I28" i="323"/>
  <c r="J28" i="323" s="1"/>
  <c r="I47" i="241"/>
  <c r="J47" i="241" s="1"/>
  <c r="I129" i="330"/>
  <c r="J129" i="330" s="1"/>
  <c r="F54" i="317"/>
  <c r="F66" i="317" s="1"/>
  <c r="F65" i="317"/>
  <c r="I240" i="323"/>
  <c r="J240" i="323" s="1"/>
  <c r="I29" i="272"/>
  <c r="J29" i="272" s="1"/>
  <c r="I207" i="323"/>
  <c r="J207" i="323" s="1"/>
  <c r="I61" i="323"/>
  <c r="J61" i="323" s="1"/>
  <c r="H221" i="330"/>
  <c r="I235" i="330"/>
  <c r="J235" i="330" s="1"/>
  <c r="H44" i="241"/>
  <c r="H43" i="241" s="1"/>
  <c r="I177" i="330"/>
  <c r="J177" i="330" s="1"/>
  <c r="H128" i="330"/>
  <c r="I30" i="241"/>
  <c r="J30" i="241" s="1"/>
  <c r="H20" i="241"/>
  <c r="I49" i="330"/>
  <c r="J49" i="330" s="1"/>
  <c r="H6" i="330"/>
  <c r="I6" i="330" s="1"/>
  <c r="J6" i="330" s="1"/>
  <c r="L14" i="175"/>
  <c r="F53" i="172"/>
  <c r="G26" i="175"/>
  <c r="G27" i="175" s="1"/>
  <c r="D53" i="172"/>
  <c r="E26" i="175"/>
  <c r="E27" i="175" s="1"/>
  <c r="K14" i="175"/>
  <c r="J50" i="267" s="1"/>
  <c r="E53" i="172"/>
  <c r="F26" i="175"/>
  <c r="F27" i="175" s="1"/>
  <c r="D26" i="175"/>
  <c r="D27" i="175" s="1"/>
  <c r="L21" i="175"/>
  <c r="K21" i="175"/>
  <c r="I30" i="318"/>
  <c r="J30" i="318" s="1"/>
  <c r="H106" i="318"/>
  <c r="F39" i="268"/>
  <c r="F40" i="268" s="1"/>
  <c r="G341" i="324"/>
  <c r="I242" i="324"/>
  <c r="F341" i="324"/>
  <c r="F343" i="324" s="1"/>
  <c r="I83" i="323"/>
  <c r="J83" i="323" s="1"/>
  <c r="I8" i="272"/>
  <c r="J8" i="272" s="1"/>
  <c r="I31" i="272"/>
  <c r="J31" i="272" s="1"/>
  <c r="I30" i="272"/>
  <c r="J30" i="272" s="1"/>
  <c r="I28" i="272"/>
  <c r="J28" i="272" s="1"/>
  <c r="I27" i="272"/>
  <c r="J27" i="272" s="1"/>
  <c r="H39" i="272"/>
  <c r="H339" i="323"/>
  <c r="I174" i="323"/>
  <c r="J174" i="323" s="1"/>
  <c r="H171" i="323"/>
  <c r="I12" i="272"/>
  <c r="J12" i="272" s="1"/>
  <c r="I11" i="272"/>
  <c r="J11" i="272" s="1"/>
  <c r="I10" i="272"/>
  <c r="J10" i="272" s="1"/>
  <c r="H21" i="272"/>
  <c r="I7" i="272"/>
  <c r="J7" i="272" s="1"/>
  <c r="H99" i="330"/>
  <c r="H26" i="330"/>
  <c r="I46" i="241"/>
  <c r="J46" i="241" s="1"/>
  <c r="I222" i="330"/>
  <c r="J222" i="330" s="1"/>
  <c r="I41" i="241"/>
  <c r="J41" i="241" s="1"/>
  <c r="H39" i="241"/>
  <c r="H197" i="330"/>
  <c r="I198" i="330"/>
  <c r="J198" i="330" s="1"/>
  <c r="I36" i="241"/>
  <c r="J36" i="241" s="1"/>
  <c r="H148" i="330"/>
  <c r="H33" i="241"/>
  <c r="I32" i="241"/>
  <c r="J32" i="241" s="1"/>
  <c r="H31" i="241"/>
  <c r="H29" i="241" s="1"/>
  <c r="I113" i="330"/>
  <c r="J113" i="330" s="1"/>
  <c r="H75" i="330"/>
  <c r="I76" i="330"/>
  <c r="J76" i="330" s="1"/>
  <c r="H16" i="241"/>
  <c r="I15" i="241"/>
  <c r="J15" i="241" s="1"/>
  <c r="I14" i="241"/>
  <c r="J14" i="241" s="1"/>
  <c r="I13" i="241"/>
  <c r="J13" i="241" s="1"/>
  <c r="H12" i="241"/>
  <c r="H10" i="241" s="1"/>
  <c r="H26" i="241" s="1"/>
  <c r="I6" i="241"/>
  <c r="J6" i="241" s="1"/>
  <c r="G18" i="267"/>
  <c r="G19" i="267" s="1"/>
  <c r="G11" i="267"/>
  <c r="H10" i="267"/>
  <c r="I10" i="267" s="1"/>
  <c r="I22" i="181"/>
  <c r="J22" i="181" s="1"/>
  <c r="I36" i="181"/>
  <c r="J36" i="181" s="1"/>
  <c r="H49" i="318"/>
  <c r="H104" i="318" s="1"/>
  <c r="H29" i="267"/>
  <c r="I29" i="267" s="1"/>
  <c r="F33" i="267"/>
  <c r="H33" i="267" s="1"/>
  <c r="I33" i="267" s="1"/>
  <c r="I70" i="268"/>
  <c r="J70" i="268" s="1"/>
  <c r="G74" i="268"/>
  <c r="I74" i="268" s="1"/>
  <c r="J74" i="268" s="1"/>
  <c r="G63" i="268"/>
  <c r="I8" i="269"/>
  <c r="J8" i="269" s="1"/>
  <c r="I157" i="325"/>
  <c r="J157" i="325" s="1"/>
  <c r="I118" i="325"/>
  <c r="J118" i="325" s="1"/>
  <c r="I17" i="325"/>
  <c r="J17" i="325" s="1"/>
  <c r="I8" i="325"/>
  <c r="J8" i="325" s="1"/>
  <c r="J14" i="180"/>
  <c r="I16" i="180"/>
  <c r="I9" i="180"/>
  <c r="H16" i="180"/>
  <c r="B36" i="172"/>
  <c r="J16" i="180"/>
  <c r="G38" i="181"/>
  <c r="G42" i="181" s="1"/>
  <c r="G44" i="181" s="1"/>
  <c r="I44" i="181" s="1"/>
  <c r="J44" i="181" s="1"/>
  <c r="E18" i="267"/>
  <c r="E19" i="267" s="1"/>
  <c r="I229" i="323"/>
  <c r="J229" i="323" s="1"/>
  <c r="I251" i="323"/>
  <c r="J251" i="323" s="1"/>
  <c r="G25" i="272"/>
  <c r="I25" i="272" s="1"/>
  <c r="J25" i="272" s="1"/>
  <c r="G24" i="272"/>
  <c r="G39" i="272" s="1"/>
  <c r="G17" i="241"/>
  <c r="I17" i="241" s="1"/>
  <c r="J17" i="241" s="1"/>
  <c r="F197" i="330"/>
  <c r="I209" i="330"/>
  <c r="J209" i="330" s="1"/>
  <c r="I149" i="330"/>
  <c r="J149" i="330" s="1"/>
  <c r="I132" i="330"/>
  <c r="J132" i="330" s="1"/>
  <c r="G128" i="330"/>
  <c r="G24" i="241"/>
  <c r="I24" i="241" s="1"/>
  <c r="J24" i="241" s="1"/>
  <c r="G99" i="330"/>
  <c r="I8" i="241"/>
  <c r="J8" i="241" s="1"/>
  <c r="I10" i="330"/>
  <c r="J10" i="330" s="1"/>
  <c r="F8" i="241"/>
  <c r="F6" i="241" s="1"/>
  <c r="F39" i="177"/>
  <c r="C39" i="177"/>
  <c r="C41" i="177" s="1"/>
  <c r="B46" i="267" s="1"/>
  <c r="E43" i="267"/>
  <c r="H45" i="267"/>
  <c r="I45" i="267" s="1"/>
  <c r="I37" i="177"/>
  <c r="J37" i="177" s="1"/>
  <c r="H44" i="267"/>
  <c r="I44" i="267" s="1"/>
  <c r="I18" i="177"/>
  <c r="J18" i="177" s="1"/>
  <c r="G39" i="177"/>
  <c r="G41" i="177" s="1"/>
  <c r="F46" i="267" s="1"/>
  <c r="H43" i="267"/>
  <c r="I43" i="267" s="1"/>
  <c r="I28" i="177"/>
  <c r="J28" i="177" s="1"/>
  <c r="H39" i="177"/>
  <c r="H41" i="177" s="1"/>
  <c r="G46" i="267" s="1"/>
  <c r="N21" i="317"/>
  <c r="N33" i="317" s="1"/>
  <c r="N46" i="317"/>
  <c r="N52" i="317" s="1"/>
  <c r="E52" i="317"/>
  <c r="E54" i="317" s="1"/>
  <c r="E66" i="317" s="1"/>
  <c r="F49" i="318"/>
  <c r="F104" i="318" s="1"/>
  <c r="G106" i="318"/>
  <c r="E6" i="330"/>
  <c r="E125" i="330" s="1"/>
  <c r="D257" i="330"/>
  <c r="D248" i="330"/>
  <c r="D31" i="241"/>
  <c r="D29" i="241" s="1"/>
  <c r="D49" i="241" s="1"/>
  <c r="D50" i="241" s="1"/>
  <c r="H38" i="182"/>
  <c r="H42" i="182" s="1"/>
  <c r="H44" i="182" s="1"/>
  <c r="H46" i="182" s="1"/>
  <c r="H48" i="182" s="1"/>
  <c r="G49" i="318"/>
  <c r="G104" i="318" s="1"/>
  <c r="H117" i="325"/>
  <c r="I117" i="325" s="1"/>
  <c r="J117" i="325" s="1"/>
  <c r="I13" i="325"/>
  <c r="J13" i="325" s="1"/>
  <c r="H7" i="325"/>
  <c r="H16" i="267"/>
  <c r="I16" i="267" s="1"/>
  <c r="H17" i="267"/>
  <c r="I17" i="267" s="1"/>
  <c r="H6" i="267"/>
  <c r="I6" i="267" s="1"/>
  <c r="F7" i="325"/>
  <c r="F166" i="325" s="1"/>
  <c r="G7" i="325"/>
  <c r="I17" i="242"/>
  <c r="J17" i="242" s="1"/>
  <c r="I7" i="242"/>
  <c r="J7" i="242" s="1"/>
  <c r="E33" i="267"/>
  <c r="F74" i="268"/>
  <c r="I53" i="268"/>
  <c r="J31" i="269"/>
  <c r="I47" i="269"/>
  <c r="J47" i="269" s="1"/>
  <c r="F49" i="269"/>
  <c r="G49" i="269"/>
  <c r="J13" i="269"/>
  <c r="H9" i="180"/>
  <c r="I11" i="180"/>
  <c r="J13" i="180"/>
  <c r="I13" i="180"/>
  <c r="H11" i="180"/>
  <c r="H15" i="180"/>
  <c r="B35" i="172"/>
  <c r="J9" i="180"/>
  <c r="B34" i="172"/>
  <c r="J15" i="180"/>
  <c r="H8" i="180"/>
  <c r="I8" i="180" s="1"/>
  <c r="I46" i="318"/>
  <c r="F106" i="318"/>
  <c r="F38" i="182"/>
  <c r="F42" i="182" s="1"/>
  <c r="F44" i="182" s="1"/>
  <c r="F46" i="182" s="1"/>
  <c r="F48" i="182" s="1"/>
  <c r="F18" i="267"/>
  <c r="G45" i="174"/>
  <c r="G7" i="174" s="1"/>
  <c r="F53" i="182"/>
  <c r="G17" i="174"/>
  <c r="G28" i="174"/>
  <c r="G26" i="174"/>
  <c r="G53" i="182"/>
  <c r="E11" i="267"/>
  <c r="I22" i="182"/>
  <c r="G38" i="182"/>
  <c r="G42" i="182" s="1"/>
  <c r="G44" i="182" s="1"/>
  <c r="G46" i="182" s="1"/>
  <c r="G48" i="182" s="1"/>
  <c r="G27" i="174"/>
  <c r="F11" i="267"/>
  <c r="I72" i="323"/>
  <c r="J72" i="323" s="1"/>
  <c r="I50" i="323"/>
  <c r="J50" i="323" s="1"/>
  <c r="I17" i="323"/>
  <c r="J17" i="323" s="1"/>
  <c r="G339" i="323"/>
  <c r="F339" i="323"/>
  <c r="F39" i="272"/>
  <c r="F21" i="272"/>
  <c r="F171" i="323"/>
  <c r="G13" i="272"/>
  <c r="G171" i="323"/>
  <c r="I230" i="330"/>
  <c r="J230" i="330" s="1"/>
  <c r="G221" i="330"/>
  <c r="F43" i="241"/>
  <c r="F221" i="330"/>
  <c r="G44" i="241"/>
  <c r="G197" i="330"/>
  <c r="F40" i="241"/>
  <c r="F39" i="241" s="1"/>
  <c r="G40" i="241"/>
  <c r="G37" i="241"/>
  <c r="I37" i="241" s="1"/>
  <c r="J37" i="241" s="1"/>
  <c r="G148" i="330"/>
  <c r="I171" i="330"/>
  <c r="J171" i="330" s="1"/>
  <c r="G35" i="241"/>
  <c r="I35" i="241" s="1"/>
  <c r="J35" i="241" s="1"/>
  <c r="F33" i="241"/>
  <c r="F148" i="330"/>
  <c r="I34" i="241"/>
  <c r="J34" i="241" s="1"/>
  <c r="F128" i="330"/>
  <c r="F29" i="241"/>
  <c r="G29" i="241"/>
  <c r="F99" i="330"/>
  <c r="I87" i="330"/>
  <c r="J87" i="330" s="1"/>
  <c r="G75" i="330"/>
  <c r="I67" i="330"/>
  <c r="J67" i="330" s="1"/>
  <c r="I55" i="330"/>
  <c r="J55" i="330" s="1"/>
  <c r="F20" i="241"/>
  <c r="J21" i="241"/>
  <c r="I18" i="241"/>
  <c r="J18" i="241" s="1"/>
  <c r="F16" i="241"/>
  <c r="F75" i="330"/>
  <c r="I64" i="330"/>
  <c r="J64" i="330" s="1"/>
  <c r="F26" i="330"/>
  <c r="F10" i="241"/>
  <c r="G10" i="241"/>
  <c r="I11" i="241"/>
  <c r="J11" i="241" s="1"/>
  <c r="G26" i="330"/>
  <c r="I27" i="330"/>
  <c r="J27" i="330" s="1"/>
  <c r="F171" i="242" l="1"/>
  <c r="I138" i="335"/>
  <c r="J138" i="335" s="1"/>
  <c r="G166" i="335"/>
  <c r="I166" i="335" s="1"/>
  <c r="J166" i="335" s="1"/>
  <c r="E40" i="272"/>
  <c r="A1" i="325"/>
  <c r="A1" i="175"/>
  <c r="A1" i="238"/>
  <c r="A1" i="318"/>
  <c r="A1" i="174"/>
  <c r="A1" i="326"/>
  <c r="A1" i="181"/>
  <c r="A1" i="242"/>
  <c r="A1" i="335"/>
  <c r="A1" i="333"/>
  <c r="A1" i="269"/>
  <c r="A1" i="180"/>
  <c r="A1" i="183"/>
  <c r="A1" i="270"/>
  <c r="A1" i="173"/>
  <c r="A1" i="334"/>
  <c r="A1" i="317"/>
  <c r="I128" i="330"/>
  <c r="J128" i="330" s="1"/>
  <c r="H18" i="267"/>
  <c r="I18" i="267" s="1"/>
  <c r="E50" i="318"/>
  <c r="E104" i="318"/>
  <c r="E105" i="318" s="1"/>
  <c r="F46" i="174"/>
  <c r="F8" i="174" s="1"/>
  <c r="E171" i="326"/>
  <c r="E171" i="242"/>
  <c r="E86" i="268"/>
  <c r="E171" i="335"/>
  <c r="F26" i="174"/>
  <c r="F27" i="174"/>
  <c r="F28" i="174"/>
  <c r="E49" i="241"/>
  <c r="E50" i="241" s="1"/>
  <c r="E247" i="330"/>
  <c r="E257" i="330" s="1"/>
  <c r="I38" i="181"/>
  <c r="J38" i="181" s="1"/>
  <c r="I42" i="181"/>
  <c r="J42" i="181" s="1"/>
  <c r="I28" i="269"/>
  <c r="J28" i="269" s="1"/>
  <c r="J69" i="270"/>
  <c r="I71" i="270"/>
  <c r="J71" i="270" s="1"/>
  <c r="F171" i="326"/>
  <c r="E28" i="267"/>
  <c r="F171" i="335"/>
  <c r="F28" i="267"/>
  <c r="H28" i="267" s="1"/>
  <c r="I28" i="267" s="1"/>
  <c r="F86" i="268"/>
  <c r="J253" i="324"/>
  <c r="G171" i="242"/>
  <c r="G46" i="174"/>
  <c r="G8" i="174" s="1"/>
  <c r="G86" i="268"/>
  <c r="I24" i="272"/>
  <c r="I39" i="272" s="1"/>
  <c r="J39" i="272" s="1"/>
  <c r="H247" i="330"/>
  <c r="H257" i="330" s="1"/>
  <c r="I99" i="330"/>
  <c r="J99" i="330" s="1"/>
  <c r="K26" i="175"/>
  <c r="K27" i="175" s="1"/>
  <c r="G343" i="324"/>
  <c r="I343" i="324" s="1"/>
  <c r="J343" i="324" s="1"/>
  <c r="I341" i="324"/>
  <c r="J341" i="324" s="1"/>
  <c r="J242" i="324"/>
  <c r="I30" i="268"/>
  <c r="H40" i="272"/>
  <c r="I339" i="323"/>
  <c r="J339" i="323" s="1"/>
  <c r="H341" i="323"/>
  <c r="H125" i="330"/>
  <c r="I26" i="330"/>
  <c r="J26" i="330" s="1"/>
  <c r="I12" i="241"/>
  <c r="J12" i="241" s="1"/>
  <c r="I197" i="330"/>
  <c r="J197" i="330" s="1"/>
  <c r="H49" i="241"/>
  <c r="H50" i="241" s="1"/>
  <c r="I148" i="330"/>
  <c r="J148" i="330" s="1"/>
  <c r="I31" i="241"/>
  <c r="J31" i="241" s="1"/>
  <c r="I75" i="330"/>
  <c r="J75" i="330" s="1"/>
  <c r="I10" i="241"/>
  <c r="J10" i="241" s="1"/>
  <c r="G20" i="267"/>
  <c r="G23" i="267" s="1"/>
  <c r="G25" i="267" s="1"/>
  <c r="I104" i="318"/>
  <c r="J104" i="318" s="1"/>
  <c r="H166" i="325"/>
  <c r="E20" i="267"/>
  <c r="E23" i="267" s="1"/>
  <c r="E25" i="267" s="1"/>
  <c r="G341" i="323"/>
  <c r="G16" i="241"/>
  <c r="I16" i="241" s="1"/>
  <c r="J16" i="241" s="1"/>
  <c r="G20" i="241"/>
  <c r="I20" i="241"/>
  <c r="J20" i="241" s="1"/>
  <c r="H46" i="267"/>
  <c r="I46" i="267" s="1"/>
  <c r="N65" i="317"/>
  <c r="N54" i="317"/>
  <c r="N66" i="317" s="1"/>
  <c r="E56" i="317"/>
  <c r="F55" i="317" s="1"/>
  <c r="F56" i="317" s="1"/>
  <c r="G55" i="317" s="1"/>
  <c r="G56" i="317" s="1"/>
  <c r="H55" i="317" s="1"/>
  <c r="H56" i="317" s="1"/>
  <c r="I55" i="317" s="1"/>
  <c r="I56" i="317" s="1"/>
  <c r="J55" i="317" s="1"/>
  <c r="J56" i="317" s="1"/>
  <c r="K55" i="317" s="1"/>
  <c r="K56" i="317" s="1"/>
  <c r="L55" i="317" s="1"/>
  <c r="L56" i="317" s="1"/>
  <c r="M55" i="317" s="1"/>
  <c r="M56" i="317" s="1"/>
  <c r="N55" i="317" s="1"/>
  <c r="I49" i="318"/>
  <c r="J49" i="318" s="1"/>
  <c r="E256" i="330"/>
  <c r="I7" i="325"/>
  <c r="J7" i="325" s="1"/>
  <c r="G166" i="325"/>
  <c r="J53" i="268"/>
  <c r="I63" i="268"/>
  <c r="J63" i="268" s="1"/>
  <c r="J46" i="318"/>
  <c r="I106" i="318"/>
  <c r="J106" i="318" s="1"/>
  <c r="F19" i="267"/>
  <c r="H19" i="267" s="1"/>
  <c r="I19" i="267" s="1"/>
  <c r="I38" i="182"/>
  <c r="J38" i="182" s="1"/>
  <c r="J22" i="182"/>
  <c r="H11" i="267"/>
  <c r="I11" i="267" s="1"/>
  <c r="F341" i="323"/>
  <c r="F40" i="272"/>
  <c r="J24" i="272"/>
  <c r="I171" i="323"/>
  <c r="J171" i="323" s="1"/>
  <c r="I13" i="272"/>
  <c r="G21" i="272"/>
  <c r="G40" i="272" s="1"/>
  <c r="I221" i="330"/>
  <c r="J221" i="330" s="1"/>
  <c r="I44" i="241"/>
  <c r="G43" i="241"/>
  <c r="F49" i="241"/>
  <c r="I40" i="241"/>
  <c r="J40" i="241" s="1"/>
  <c r="G39" i="241"/>
  <c r="I39" i="241" s="1"/>
  <c r="J39" i="241" s="1"/>
  <c r="G247" i="330"/>
  <c r="G257" i="330" s="1"/>
  <c r="F247" i="330"/>
  <c r="F257" i="330" s="1"/>
  <c r="G33" i="241"/>
  <c r="I33" i="241" s="1"/>
  <c r="J33" i="241" s="1"/>
  <c r="I29" i="241"/>
  <c r="F125" i="330"/>
  <c r="F256" i="330" s="1"/>
  <c r="F26" i="241"/>
  <c r="F50" i="241" s="1"/>
  <c r="G125" i="330"/>
  <c r="G171" i="335" l="1"/>
  <c r="G171" i="326"/>
  <c r="E248" i="330"/>
  <c r="I49" i="269"/>
  <c r="J49" i="269" s="1"/>
  <c r="I341" i="323"/>
  <c r="J341" i="323" s="1"/>
  <c r="H248" i="330"/>
  <c r="I39" i="268"/>
  <c r="J30" i="268"/>
  <c r="H256" i="330"/>
  <c r="I166" i="325"/>
  <c r="J166" i="325" s="1"/>
  <c r="F20" i="267"/>
  <c r="H20" i="267" s="1"/>
  <c r="I20" i="267" s="1"/>
  <c r="I26" i="241"/>
  <c r="J26" i="241" s="1"/>
  <c r="G26" i="241"/>
  <c r="N56" i="317"/>
  <c r="F23" i="267"/>
  <c r="J13" i="272"/>
  <c r="I21" i="272"/>
  <c r="I247" i="330"/>
  <c r="I257" i="330" s="1"/>
  <c r="J44" i="241"/>
  <c r="I43" i="241"/>
  <c r="J43" i="241" s="1"/>
  <c r="G49" i="241"/>
  <c r="J29" i="241"/>
  <c r="F248" i="330"/>
  <c r="G248" i="330"/>
  <c r="G256" i="330"/>
  <c r="I125" i="330"/>
  <c r="I248" i="330" l="1"/>
  <c r="J248" i="330" s="1"/>
  <c r="G50" i="241"/>
  <c r="J39" i="268"/>
  <c r="I40" i="268"/>
  <c r="J40" i="268" s="1"/>
  <c r="I49" i="241"/>
  <c r="J49" i="241" s="1"/>
  <c r="J247" i="330"/>
  <c r="H23" i="267"/>
  <c r="I23" i="267" s="1"/>
  <c r="F25" i="267"/>
  <c r="H25" i="267" s="1"/>
  <c r="I25" i="267" s="1"/>
  <c r="I40" i="272"/>
  <c r="J40" i="272" s="1"/>
  <c r="J21" i="272"/>
  <c r="J125" i="330"/>
  <c r="I256" i="330"/>
  <c r="I50" i="241" l="1"/>
  <c r="J50" i="241" s="1"/>
</calcChain>
</file>

<file path=xl/sharedStrings.xml><?xml version="1.0" encoding="utf-8"?>
<sst xmlns="http://schemas.openxmlformats.org/spreadsheetml/2006/main" count="3078" uniqueCount="1582">
  <si>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</si>
  <si>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</si>
  <si>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</si>
  <si>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</si>
  <si>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</si>
  <si>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</si>
  <si>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</si>
  <si>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</si>
  <si>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</si>
  <si>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</si>
  <si>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</si>
  <si>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</si>
  <si>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</si>
  <si>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</si>
  <si>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</si>
  <si>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</si>
  <si>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</si>
  <si>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</si>
  <si>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</si>
  <si>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</si>
  <si>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</si>
  <si>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</si>
  <si>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</si>
  <si>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</si>
  <si>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</si>
  <si>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</si>
  <si>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</si>
  <si>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</si>
  <si>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</si>
  <si>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</si>
  <si>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</si>
  <si>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</si>
  <si>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</si>
  <si>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</si>
  <si>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</si>
  <si>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</si>
  <si>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</si>
  <si>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</si>
  <si>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</si>
  <si>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</si>
  <si>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</si>
  <si>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</si>
  <si>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</si>
  <si>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</si>
  <si>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</si>
  <si>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</si>
  <si>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</si>
  <si>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</si>
  <si>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</si>
  <si>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</si>
  <si>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</si>
  <si>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</si>
  <si>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</si>
  <si>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</si>
  <si>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</si>
  <si>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</si>
  <si>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</si>
  <si>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</si>
  <si>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</si>
  <si>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</si>
  <si>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</si>
  <si>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</si>
  <si>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</si>
  <si>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</si>
  <si>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</si>
  <si>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</si>
  <si>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</si>
  <si>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</si>
  <si>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</si>
  <si>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</si>
  <si>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</si>
  <si>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</si>
  <si>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</si>
  <si>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</si>
  <si>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</si>
  <si>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</si>
  <si>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</si>
  <si>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</si>
  <si>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</si>
  <si>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</si>
  <si>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</si>
  <si>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</si>
  <si>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</si>
  <si>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</si>
  <si>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</si>
  <si>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</si>
  <si>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</si>
  <si>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</si>
  <si>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</si>
  <si>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</si>
  <si>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</si>
  <si>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</si>
  <si>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</si>
  <si>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</si>
  <si>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</si>
  <si>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</si>
  <si>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</si>
  <si>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</si>
  <si>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</si>
  <si>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</si>
  <si>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</si>
  <si>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</si>
  <si>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</si>
  <si>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</si>
  <si>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</si>
  <si>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</si>
  <si>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</si>
  <si>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</si>
  <si>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</si>
  <si>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</si>
  <si>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</si>
  <si>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</si>
  <si>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</si>
  <si>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</si>
  <si>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</si>
  <si>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</si>
  <si>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</si>
  <si>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</si>
  <si>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</si>
  <si>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</si>
  <si>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</si>
  <si>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</si>
  <si>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</si>
  <si>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</si>
  <si>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</si>
  <si>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</si>
  <si>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</si>
  <si>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</si>
  <si>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</si>
  <si>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</si>
  <si>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</si>
  <si>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</si>
  <si>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</si>
  <si>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</si>
  <si>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</si>
  <si>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</si>
  <si>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</si>
  <si>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</si>
  <si>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</si>
  <si>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</si>
  <si>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</si>
  <si>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</si>
  <si>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</si>
  <si>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</si>
  <si>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</si>
  <si>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</si>
  <si>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</si>
  <si>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</si>
  <si>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</si>
  <si>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</si>
  <si>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</si>
  <si>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</si>
  <si>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</si>
  <si>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</si>
  <si>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</si>
  <si>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</si>
  <si>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</si>
  <si>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</si>
  <si>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</si>
  <si>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</si>
  <si>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</si>
  <si>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</si>
  <si>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</si>
  <si>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</si>
  <si>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</si>
  <si>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</si>
  <si>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</si>
  <si>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</si>
  <si>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</si>
  <si>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</si>
  <si>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</si>
  <si>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</si>
  <si>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</si>
  <si>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</si>
  <si>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</si>
  <si>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</si>
  <si>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</si>
  <si>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</si>
  <si>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</si>
  <si>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</si>
  <si>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</si>
  <si>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</si>
  <si>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</si>
  <si>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</si>
  <si>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</si>
  <si>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</si>
  <si>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</si>
  <si>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</si>
  <si>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</si>
  <si>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</si>
  <si>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</si>
  <si>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</si>
  <si>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</si>
  <si>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</si>
  <si>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</si>
  <si>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</si>
  <si>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</si>
  <si>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</si>
  <si>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</si>
  <si>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</si>
  <si>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</si>
  <si>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</si>
  <si>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</si>
  <si>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</si>
  <si>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</si>
  <si>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</si>
  <si>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</si>
  <si>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</si>
  <si>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</si>
  <si>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</si>
  <si>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</si>
  <si>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</si>
  <si>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</si>
  <si>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</si>
  <si>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</si>
  <si>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</si>
  <si>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</si>
  <si>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</si>
  <si>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</si>
  <si>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</si>
  <si>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</si>
  <si>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</si>
  <si>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</si>
  <si>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</si>
  <si>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</si>
  <si>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</si>
  <si>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</si>
  <si>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</si>
  <si>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</si>
  <si>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</si>
  <si>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</si>
  <si>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</si>
  <si>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</si>
  <si>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</si>
  <si>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</si>
  <si>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</si>
  <si>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</si>
  <si>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</si>
  <si>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</si>
  <si>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</si>
  <si>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</si>
  <si>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</si>
  <si>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</si>
  <si>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</si>
  <si>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</si>
  <si>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</si>
  <si>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</si>
  <si>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</si>
  <si>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</si>
  <si>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</si>
  <si>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</si>
  <si>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</si>
  <si>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</si>
  <si>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</si>
  <si>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</si>
  <si>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</si>
  <si>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</si>
  <si>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</si>
  <si>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</si>
  <si>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</si>
  <si>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</si>
  <si>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</si>
  <si>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</si>
  <si>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</si>
  <si>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</si>
  <si>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</si>
  <si>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</si>
  <si>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</si>
  <si>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</si>
  <si>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</si>
  <si>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</si>
  <si>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</si>
  <si>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</si>
  <si>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</si>
  <si>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</si>
  <si>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</si>
  <si>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</si>
  <si>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</si>
  <si>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</si>
  <si>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</si>
  <si>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</si>
  <si>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</si>
  <si>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</si>
  <si>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</si>
  <si>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</si>
  <si>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</si>
  <si>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</si>
  <si>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</si>
  <si>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</si>
  <si>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</si>
  <si>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</si>
  <si>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</si>
  <si>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</si>
  <si>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</si>
  <si>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</si>
  <si>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</si>
  <si>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</si>
  <si>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</si>
  <si>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</si>
  <si>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</si>
  <si>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</si>
  <si>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</si>
  <si>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</si>
  <si>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</si>
  <si>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</si>
  <si>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</si>
  <si>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</si>
  <si>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</si>
  <si>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</si>
  <si>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</si>
  <si>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</si>
  <si>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</si>
  <si>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</si>
  <si>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</si>
  <si>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</si>
  <si>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</si>
  <si>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</si>
  <si>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</si>
  <si>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</si>
  <si>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</si>
  <si>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</si>
  <si>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</si>
  <si>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</si>
  <si>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</si>
  <si>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</si>
  <si>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</si>
  <si>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</si>
  <si>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</si>
  <si>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</si>
  <si>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</si>
  <si>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</si>
  <si>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</si>
  <si>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</si>
  <si>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</si>
  <si>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</si>
  <si>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</si>
  <si>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</si>
  <si>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</si>
  <si>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</si>
  <si>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</si>
  <si>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</si>
  <si>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</si>
  <si>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</si>
  <si>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</si>
  <si>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</si>
  <si>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</si>
  <si>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</si>
  <si>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</si>
  <si>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</si>
  <si>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</si>
  <si>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</si>
  <si>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</si>
  <si>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</si>
  <si>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</si>
  <si>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</si>
  <si>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</si>
  <si>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</si>
  <si>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</si>
  <si>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</si>
  <si>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</si>
  <si>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</si>
  <si>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</si>
  <si>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</si>
  <si>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</si>
  <si>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</si>
  <si>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</si>
  <si>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</si>
  <si>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</si>
  <si>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</si>
  <si>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</si>
  <si>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</si>
  <si>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</si>
  <si>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</si>
  <si>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</si>
  <si>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</si>
  <si>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</si>
  <si>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</si>
  <si>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</si>
  <si>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</si>
  <si>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</si>
  <si>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</si>
  <si>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</si>
  <si>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</si>
  <si>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</si>
  <si>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</si>
  <si>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</si>
  <si>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</si>
  <si>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</si>
  <si>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</si>
  <si>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</si>
  <si>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</si>
  <si>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</si>
  <si>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</si>
  <si>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</si>
  <si>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</si>
  <si>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</si>
  <si>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</si>
  <si>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</si>
  <si>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</si>
  <si>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</si>
  <si>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</si>
  <si>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</si>
  <si>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</si>
  <si>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</si>
  <si>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</si>
  <si>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</si>
  <si>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</si>
  <si>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</si>
  <si>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</si>
  <si>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</si>
  <si>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</si>
  <si>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</si>
  <si>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</si>
  <si>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</si>
  <si>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</si>
  <si>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</si>
  <si>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</si>
  <si>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</si>
  <si>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</si>
  <si>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</si>
  <si>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</si>
  <si>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</si>
  <si>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</si>
  <si>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</si>
  <si>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</si>
  <si>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</si>
  <si>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</si>
  <si>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</si>
  <si>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</si>
  <si>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</si>
  <si>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</si>
  <si>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</si>
  <si>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</si>
  <si>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</si>
  <si>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</si>
  <si>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</si>
  <si>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</si>
  <si>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</si>
  <si>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</si>
  <si>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</si>
  <si>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</si>
  <si>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</si>
  <si>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</si>
  <si>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</si>
  <si>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</si>
  <si>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</si>
  <si>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</si>
  <si>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</si>
  <si>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</si>
  <si>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</si>
  <si>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</si>
  <si>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</si>
  <si>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</si>
  <si>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</si>
  <si>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</si>
  <si>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</si>
  <si>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</si>
  <si>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</si>
  <si>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</si>
  <si>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</si>
  <si>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</si>
  <si>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</si>
  <si>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</si>
  <si>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</si>
  <si>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</si>
  <si>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</si>
  <si>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</si>
  <si>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</si>
  <si>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</si>
  <si>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</si>
  <si>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</si>
  <si>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</si>
  <si>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</si>
  <si>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</si>
  <si>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</si>
  <si>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</si>
  <si>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</si>
  <si>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</si>
  <si>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</si>
  <si>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</si>
  <si>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</si>
  <si>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</si>
  <si>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</si>
  <si>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</si>
  <si>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</si>
  <si>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</si>
  <si>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</si>
  <si>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</si>
  <si>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</si>
  <si>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</si>
  <si>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</si>
  <si>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</si>
  <si>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</si>
  <si>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</si>
  <si>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</si>
  <si>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</si>
  <si>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</si>
  <si>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</si>
  <si>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</si>
  <si>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</si>
  <si>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</si>
  <si>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</si>
  <si>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</si>
  <si>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</si>
  <si>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</si>
  <si>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</si>
  <si>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</si>
  <si>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</si>
  <si>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</si>
  <si>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</si>
  <si>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</si>
  <si>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</si>
  <si>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</si>
  <si>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</si>
  <si>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</si>
  <si>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</si>
  <si>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</si>
  <si>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</si>
  <si>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</si>
  <si>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</si>
  <si>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</si>
  <si>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</si>
  <si>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</si>
  <si>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</si>
  <si>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</si>
  <si>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</si>
  <si>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</si>
  <si>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</si>
  <si>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</si>
  <si>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</si>
  <si>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</si>
  <si>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</si>
  <si>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</si>
  <si>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</si>
  <si>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</si>
  <si>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</si>
  <si>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</si>
  <si>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</si>
  <si>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</si>
  <si>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</si>
  <si>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</si>
  <si>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</si>
  <si>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</si>
  <si>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</si>
  <si>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</si>
  <si>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</si>
  <si>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</si>
  <si>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</si>
  <si>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</si>
  <si>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</si>
  <si>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</si>
  <si>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</si>
  <si>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</si>
  <si>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</si>
  <si>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</si>
  <si>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</si>
  <si>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</si>
  <si>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</si>
  <si>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</si>
  <si>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</si>
  <si>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</si>
  <si>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</si>
  <si>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</si>
  <si>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</si>
  <si>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</si>
  <si>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</si>
  <si>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</si>
  <si>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</si>
  <si>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</si>
  <si>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</si>
  <si>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</si>
  <si>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</si>
  <si>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</si>
  <si>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</si>
  <si>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</si>
  <si>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</si>
  <si>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</si>
  <si>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</si>
  <si>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</si>
  <si>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</si>
  <si>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</si>
  <si>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</si>
  <si>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</si>
  <si>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</si>
  <si>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</si>
  <si>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</si>
  <si>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</si>
  <si>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</si>
  <si>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</si>
  <si>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</si>
  <si>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</si>
  <si>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</si>
  <si>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</si>
  <si>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</si>
  <si>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</si>
  <si>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</si>
  <si>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</si>
  <si>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</si>
  <si>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</si>
  <si>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</si>
  <si>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</si>
  <si>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</si>
  <si>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</si>
  <si>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</si>
  <si>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</si>
  <si>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</si>
  <si>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</si>
  <si>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</si>
  <si>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</si>
  <si>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</si>
  <si>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</si>
  <si>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</si>
  <si>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</si>
  <si>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</si>
  <si>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</si>
  <si>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</si>
  <si>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</si>
  <si>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</si>
  <si>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</si>
  <si>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</si>
  <si>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</si>
  <si>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</si>
  <si>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</si>
  <si>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</si>
  <si>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</si>
  <si>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</si>
  <si>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</si>
  <si>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</si>
  <si>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</si>
  <si>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</si>
  <si>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</si>
  <si>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</si>
  <si>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</si>
  <si>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</si>
  <si>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</si>
  <si>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</si>
  <si>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</si>
  <si>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</si>
  <si>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</si>
  <si>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</si>
  <si>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</si>
  <si>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</si>
  <si>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</si>
  <si>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</si>
  <si>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</si>
  <si>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</si>
  <si>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</si>
  <si>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</si>
  <si>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</si>
  <si>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</si>
  <si>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</si>
  <si>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</si>
  <si>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</si>
  <si>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</si>
  <si>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</si>
  <si>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</si>
  <si>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</si>
  <si>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</si>
  <si>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</si>
  <si>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</si>
  <si>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</si>
  <si>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</si>
  <si>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</si>
  <si>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</si>
  <si>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</si>
  <si>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</si>
  <si>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</si>
  <si>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</si>
  <si>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</si>
  <si>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</si>
  <si>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</si>
  <si>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</si>
  <si>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</si>
  <si>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</si>
  <si>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</si>
  <si>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</si>
  <si>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</si>
  <si>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</si>
  <si>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</si>
  <si>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</si>
  <si>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</si>
  <si>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</si>
  <si>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</si>
  <si>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</si>
  <si>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</si>
  <si>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</si>
  <si>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</si>
  <si>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</si>
  <si>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</si>
  <si>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</si>
  <si>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</si>
  <si>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</si>
  <si>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</si>
  <si>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</si>
  <si>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</si>
  <si>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</si>
  <si>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</si>
  <si>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</si>
  <si>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</si>
  <si>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</si>
  <si>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</si>
  <si>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</si>
  <si>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</si>
  <si>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</si>
  <si>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</si>
  <si>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</si>
  <si>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</si>
  <si>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</si>
  <si>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</si>
  <si>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</si>
  <si>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</si>
  <si>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</si>
  <si>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</si>
  <si>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</si>
  <si>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</si>
  <si>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</si>
  <si>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</si>
  <si>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</si>
  <si>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</si>
  <si>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</si>
  <si>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</si>
  <si>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</si>
  <si>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</si>
  <si>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</si>
  <si>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</si>
  <si>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</si>
  <si>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</si>
  <si>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</si>
  <si>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</si>
  <si>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</si>
  <si>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</si>
  <si>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</si>
  <si>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</si>
  <si>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</si>
  <si>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</si>
  <si>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</si>
  <si>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</si>
  <si>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</si>
  <si>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</si>
  <si>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</si>
  <si>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</si>
  <si>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</si>
  <si>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</si>
  <si>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</si>
  <si>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</si>
  <si>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</si>
  <si>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</si>
  <si>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</si>
  <si>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</si>
  <si>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</si>
  <si>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</si>
  <si>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</si>
  <si>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</si>
  <si>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</si>
  <si>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</si>
  <si>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</si>
  <si>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</si>
  <si>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</si>
  <si>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</si>
  <si>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</si>
  <si>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</si>
  <si>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</si>
  <si>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</si>
  <si>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</si>
  <si>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</si>
  <si>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</si>
  <si>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</si>
  <si>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</si>
  <si>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</si>
  <si>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</si>
  <si>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</si>
  <si>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</si>
  <si>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</si>
  <si>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</si>
  <si>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</si>
  <si>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</si>
  <si>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</si>
  <si>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</si>
  <si>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</si>
  <si>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</si>
  <si>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</si>
  <si>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</si>
  <si>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</si>
  <si>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</si>
  <si>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</si>
  <si>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</si>
  <si>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</si>
  <si>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</si>
  <si>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</si>
  <si>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</si>
  <si>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</si>
  <si>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</si>
  <si>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</si>
  <si>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</si>
  <si>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</si>
  <si>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</si>
  <si>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</si>
  <si>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</si>
  <si>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</si>
  <si>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</si>
  <si>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</si>
  <si>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</si>
  <si>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</si>
  <si>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</si>
  <si>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</si>
  <si>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</si>
  <si>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</si>
  <si>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</si>
  <si>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</si>
  <si>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</si>
  <si>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</si>
  <si>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</si>
  <si>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</si>
  <si>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</si>
  <si>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</si>
  <si>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</si>
  <si>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</si>
  <si>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</si>
  <si>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</si>
  <si>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</si>
  <si>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</si>
  <si>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</si>
  <si>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</si>
  <si>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</si>
  <si>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</si>
  <si>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</si>
  <si>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</si>
  <si>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</si>
  <si>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</si>
  <si>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</si>
  <si>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</si>
  <si>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</si>
  <si>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</si>
  <si>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</si>
  <si>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</si>
  <si>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</si>
  <si>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</si>
  <si>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</si>
  <si>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</si>
  <si>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</si>
  <si>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</si>
  <si>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</si>
  <si>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</si>
  <si>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</si>
  <si>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</si>
  <si>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</si>
  <si>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</si>
  <si>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</si>
  <si>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</si>
  <si>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</si>
  <si>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</si>
  <si>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</si>
  <si>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</si>
  <si>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</si>
  <si>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</si>
  <si>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</si>
  <si>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</si>
  <si>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</si>
  <si>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</si>
  <si>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</si>
  <si>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</si>
  <si>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</si>
  <si>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</si>
  <si>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</si>
  <si>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</si>
  <si>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</si>
  <si>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</si>
  <si>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</si>
  <si>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</si>
  <si>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</si>
  <si>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</si>
  <si>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</si>
  <si>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</si>
  <si>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</si>
  <si>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</si>
  <si>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</si>
  <si>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</si>
  <si>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</si>
  <si>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</si>
  <si>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</si>
  <si>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</si>
  <si>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</si>
  <si>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</si>
  <si>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</si>
  <si>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</si>
  <si>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</si>
  <si>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</si>
  <si>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</si>
  <si>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</si>
  <si>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</si>
  <si>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</si>
  <si>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</si>
  <si>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</si>
  <si>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</si>
  <si>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</si>
  <si>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</si>
  <si>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</si>
  <si>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</si>
  <si>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</si>
  <si>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</si>
  <si>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</si>
  <si>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</si>
  <si>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</si>
  <si>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</si>
  <si>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</si>
  <si>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</si>
  <si>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</si>
  <si>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</si>
  <si>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</si>
  <si>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</si>
  <si>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</si>
  <si>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</si>
  <si>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</si>
  <si>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</si>
  <si>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</si>
  <si>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</si>
  <si>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</si>
  <si>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</si>
  <si>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</si>
  <si>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</si>
  <si>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</si>
  <si>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</si>
  <si>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</si>
  <si>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</si>
  <si>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</si>
  <si>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</si>
  <si>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</si>
  <si>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</si>
  <si>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</si>
  <si>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</si>
  <si>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</si>
  <si>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</si>
  <si>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</si>
  <si>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</si>
  <si>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</si>
  <si>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</si>
  <si>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</si>
  <si>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</si>
  <si>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</si>
  <si>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</si>
  <si>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</si>
  <si>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</si>
  <si>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</si>
  <si>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</si>
  <si>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</si>
  <si>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</si>
  <si>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</si>
  <si>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</si>
  <si>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</si>
  <si>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</si>
  <si>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</si>
  <si>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</si>
  <si>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</si>
  <si>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</si>
  <si>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</si>
  <si>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</si>
  <si>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</si>
  <si>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</si>
  <si>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</si>
  <si>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</si>
  <si>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</si>
  <si>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</si>
  <si>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</si>
  <si>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</si>
  <si>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</si>
  <si>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</si>
  <si>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</si>
  <si>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</si>
  <si>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</si>
  <si>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</si>
  <si>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</si>
  <si>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</si>
  <si>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</si>
  <si>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</si>
  <si>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</si>
  <si>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</si>
  <si>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</si>
  <si>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</si>
  <si>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</si>
  <si>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</si>
  <si>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</si>
  <si>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</si>
  <si>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</si>
  <si>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</si>
  <si>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</si>
  <si>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</si>
  <si>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</si>
  <si>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</si>
  <si>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</si>
  <si>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</si>
  <si>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</si>
  <si>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</si>
  <si>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</si>
  <si>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</si>
  <si>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</si>
  <si>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</si>
  <si>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</si>
  <si>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</si>
  <si>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</si>
  <si>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</si>
  <si>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</si>
  <si>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</si>
  <si>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</si>
  <si>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</si>
  <si>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</si>
  <si>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</si>
  <si>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</si>
  <si>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</si>
  <si>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</si>
  <si>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</si>
  <si>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</si>
  <si>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</si>
  <si>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</si>
  <si>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</si>
  <si>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</si>
  <si>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</si>
  <si>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</si>
  <si>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</si>
  <si>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</si>
  <si>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</si>
  <si>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</si>
  <si>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</si>
  <si>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</si>
  <si>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</si>
  <si>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</si>
  <si>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</si>
  <si>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</si>
  <si>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</si>
  <si>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</si>
  <si>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</si>
  <si>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</si>
  <si>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</si>
  <si>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</si>
  <si>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</si>
  <si>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</si>
  <si>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</si>
  <si>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</si>
  <si>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</si>
  <si>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</si>
  <si>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</si>
  <si>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</si>
  <si>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</si>
  <si>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</si>
  <si>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</si>
  <si>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</si>
  <si>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</si>
  <si>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</si>
  <si>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</si>
  <si>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</si>
  <si>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</si>
  <si>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</si>
  <si>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</si>
  <si>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</si>
  <si>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</si>
  <si>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</si>
  <si>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</si>
  <si>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</si>
  <si>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</si>
  <si>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</si>
  <si>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</si>
  <si>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</si>
  <si>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</si>
  <si>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</si>
  <si>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</si>
  <si>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</si>
  <si>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</si>
  <si>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</si>
  <si>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</si>
  <si>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</si>
  <si>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</si>
  <si>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</si>
  <si>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</si>
  <si>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</si>
  <si>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</si>
  <si>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</si>
  <si>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</si>
  <si>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</si>
  <si>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</si>
  <si>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</si>
  <si>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</si>
  <si>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</si>
  <si>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</si>
  <si>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</si>
  <si>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</si>
  <si>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</si>
  <si>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</si>
  <si>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</si>
  <si>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</si>
  <si>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</si>
  <si>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</si>
  <si>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</si>
  <si>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</si>
  <si>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</si>
  <si>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</si>
  <si>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</si>
  <si>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</si>
  <si>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</si>
  <si>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</si>
  <si>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</si>
  <si>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</si>
  <si>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</si>
  <si>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</si>
  <si>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</si>
  <si>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</si>
  <si>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</si>
  <si>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</si>
  <si>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</si>
  <si>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</si>
  <si>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</si>
  <si>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</si>
  <si>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</si>
  <si>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</si>
  <si>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</si>
  <si>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</si>
  <si>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</si>
  <si>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</si>
  <si>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</si>
  <si>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</si>
  <si>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</si>
  <si>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</si>
  <si>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</si>
  <si>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</si>
  <si>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</si>
  <si>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</si>
  <si>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</si>
  <si>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</si>
  <si>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</si>
  <si>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</si>
  <si>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</si>
  <si>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</si>
  <si>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</si>
  <si>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</si>
  <si>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</si>
  <si>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</si>
  <si>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</si>
  <si>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</si>
  <si>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</si>
  <si>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</si>
  <si>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</si>
  <si>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</si>
  <si>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</si>
  <si>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</si>
  <si>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</si>
  <si>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</si>
  <si>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</si>
  <si>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</si>
  <si>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</si>
  <si>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</si>
  <si>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</si>
  <si>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</si>
  <si>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</si>
  <si>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</si>
  <si>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</si>
  <si>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</si>
  <si>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</si>
  <si>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</si>
  <si>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</si>
  <si>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</si>
  <si>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</si>
  <si>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</si>
  <si>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</si>
  <si>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</si>
  <si>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</si>
  <si>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</si>
  <si>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</si>
  <si>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</si>
  <si>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</si>
  <si>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</si>
  <si>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</si>
  <si>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</si>
  <si>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</si>
  <si>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</si>
  <si>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</si>
  <si>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</si>
  <si>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</si>
  <si>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</si>
  <si>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</si>
  <si>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</si>
  <si>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</si>
  <si>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</si>
  <si>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</si>
  <si>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</si>
  <si>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</si>
  <si>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</si>
  <si>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</si>
  <si>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</si>
  <si>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</si>
  <si>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</si>
  <si>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</si>
  <si>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</si>
  <si>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</si>
  <si>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</si>
  <si>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</si>
  <si>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</si>
  <si>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</si>
  <si>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</si>
  <si>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</si>
  <si>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</si>
  <si>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</si>
  <si>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</si>
  <si>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</si>
  <si>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</si>
  <si>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</si>
  <si>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</si>
  <si>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</si>
  <si>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</si>
  <si>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</si>
  <si>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</si>
  <si>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</si>
  <si>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</si>
  <si>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</si>
  <si>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</si>
  <si>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</si>
  <si>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</si>
  <si>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</si>
  <si>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</si>
  <si>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</si>
  <si>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</si>
  <si>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</si>
  <si>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</si>
  <si>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</si>
  <si>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</si>
  <si>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</si>
  <si>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</si>
  <si>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</si>
  <si>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</si>
  <si>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</si>
  <si>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</si>
  <si>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</si>
  <si>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</si>
  <si>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</si>
  <si>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</si>
  <si>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</si>
  <si>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</si>
  <si>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</si>
  <si>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</si>
  <si>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</si>
  <si>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</si>
  <si>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</si>
  <si>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</si>
  <si>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</si>
  <si>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</si>
  <si>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</si>
  <si>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</si>
  <si>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</si>
  <si>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</si>
  <si>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</si>
  <si>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</si>
  <si>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</si>
  <si>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</si>
  <si>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</si>
  <si>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</si>
  <si>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</si>
  <si>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</si>
  <si>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</si>
  <si>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</si>
  <si>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</si>
  <si>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</si>
  <si>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</si>
  <si>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</si>
  <si>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</si>
  <si>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</si>
  <si>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</si>
  <si>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</si>
  <si>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</si>
  <si>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</si>
  <si>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</si>
  <si>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</si>
  <si>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</si>
  <si>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</si>
  <si>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</si>
  <si>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</si>
  <si>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</si>
  <si>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</si>
  <si>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</si>
  <si>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</si>
  <si>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</si>
  <si>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</si>
  <si>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</si>
  <si>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</si>
  <si>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</si>
  <si>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</si>
  <si>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</si>
  <si>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</si>
  <si>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</si>
  <si>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</si>
  <si>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</si>
  <si>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</si>
  <si>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</si>
  <si>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</si>
  <si>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</si>
  <si>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</si>
  <si>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</si>
  <si>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</si>
  <si>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</si>
  <si>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</si>
  <si>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</si>
  <si>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</si>
  <si>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</si>
  <si>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</si>
  <si>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</si>
  <si>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</si>
  <si>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</si>
  <si>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</si>
  <si>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</si>
  <si>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</si>
  <si>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</si>
  <si>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</si>
  <si>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</si>
  <si>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</si>
  <si>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</si>
  <si>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</si>
  <si>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</si>
  <si>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</si>
  <si>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</si>
  <si>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</si>
  <si>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</si>
  <si>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</si>
  <si>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</si>
  <si>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</si>
  <si>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</si>
  <si>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</si>
  <si>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</si>
  <si>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</si>
  <si>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</si>
  <si>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</si>
  <si>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</si>
  <si>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</si>
  <si>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</si>
  <si>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</si>
  <si>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</si>
  <si>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</si>
  <si>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</si>
  <si>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</si>
  <si>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</si>
  <si>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</si>
  <si>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</si>
  <si>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</si>
  <si>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</si>
  <si>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</si>
  <si>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</si>
  <si>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</si>
  <si>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</si>
  <si>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</si>
  <si>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</si>
  <si>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</si>
  <si>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</si>
  <si>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</si>
  <si>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</si>
  <si>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</si>
  <si>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</si>
  <si>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</si>
  <si>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</si>
  <si>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</si>
  <si>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</si>
  <si>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</si>
  <si>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</si>
  <si>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</si>
  <si>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</si>
  <si>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</si>
  <si>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</si>
  <si>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</si>
  <si>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</si>
  <si>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</si>
  <si>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</si>
  <si>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</si>
  <si>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</si>
  <si>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</si>
  <si>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</si>
  <si>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</si>
  <si>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</si>
  <si>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</si>
  <si>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</si>
  <si>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</si>
  <si>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</si>
  <si>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</si>
  <si>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</si>
  <si>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</si>
  <si>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</si>
  <si>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</si>
  <si>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</si>
  <si>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</si>
  <si>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</si>
  <si>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</si>
  <si>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</si>
  <si>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</si>
  <si>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</si>
  <si>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</si>
  <si>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</si>
  <si>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</si>
  <si>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</si>
  <si>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</si>
  <si>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</si>
  <si>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</si>
  <si>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</si>
  <si>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</si>
  <si>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</si>
  <si>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</si>
  <si>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</si>
  <si>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</si>
  <si>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</si>
  <si>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</si>
  <si>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</si>
  <si>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</si>
  <si>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</si>
  <si>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</si>
  <si>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</si>
  <si>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</si>
  <si>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</si>
  <si>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</si>
  <si>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</si>
  <si>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</si>
  <si>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</si>
  <si>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</si>
  <si>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</si>
  <si>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</si>
  <si>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</si>
  <si>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</si>
  <si>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</si>
  <si>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</si>
  <si>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</si>
  <si>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</si>
  <si>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</si>
  <si>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</si>
  <si>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</si>
  <si>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</si>
  <si>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</si>
  <si>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</si>
  <si>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</si>
  <si>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</si>
  <si>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</si>
  <si>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</si>
  <si>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</si>
  <si>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</si>
  <si>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</si>
  <si>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</si>
  <si>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</si>
  <si>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</si>
  <si>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</si>
  <si>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</si>
  <si>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</si>
  <si>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</si>
  <si>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</si>
  <si>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</si>
  <si>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</si>
  <si>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</si>
  <si>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</si>
  <si>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</si>
  <si>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</si>
  <si>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</si>
  <si>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</si>
  <si>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</si>
  <si>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</si>
  <si>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</si>
  <si>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</si>
  <si>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</si>
  <si>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</si>
  <si>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</si>
  <si>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</si>
  <si>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</si>
  <si>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</si>
  <si>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</si>
  <si>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</si>
  <si>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</si>
  <si>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</si>
  <si>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</si>
  <si>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</si>
  <si>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</si>
  <si>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</si>
  <si>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</si>
  <si>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</si>
  <si>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</si>
  <si>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</si>
  <si>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</si>
  <si>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</si>
  <si>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</si>
  <si>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</si>
  <si>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</si>
  <si>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</si>
  <si>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</si>
  <si>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</si>
  <si>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</si>
  <si>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</si>
  <si>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</si>
  <si>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</si>
  <si>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</si>
  <si>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</si>
  <si>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</si>
  <si>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</si>
  <si>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</si>
  <si>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</si>
  <si>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</si>
  <si>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</si>
  <si>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</si>
  <si>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</si>
  <si>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</si>
  <si>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</si>
  <si>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</si>
  <si>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</si>
  <si>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</si>
  <si>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</si>
  <si>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</si>
  <si>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</si>
  <si>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</si>
  <si>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</si>
  <si>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</si>
  <si>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</si>
  <si>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</si>
  <si>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</si>
  <si>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</si>
  <si>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</si>
  <si>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</si>
  <si>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</si>
  <si>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</si>
  <si>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</si>
  <si>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</si>
  <si>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</si>
  <si>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</si>
  <si>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</si>
  <si>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</si>
  <si>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</si>
  <si>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</si>
  <si>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</si>
  <si>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</si>
  <si>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</si>
  <si>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</si>
  <si>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</si>
  <si>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</si>
  <si>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</si>
  <si>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</si>
  <si>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</si>
  <si>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</si>
  <si>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</si>
  <si>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</si>
  <si>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</si>
  <si>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</si>
  <si>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</si>
  <si>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</si>
  <si>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</si>
  <si>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</si>
  <si>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</si>
  <si>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</si>
  <si>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</si>
  <si>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</si>
  <si>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</si>
  <si>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</si>
  <si>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</si>
  <si>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</si>
  <si>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</si>
  <si>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</si>
  <si>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</si>
  <si>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</si>
  <si>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</si>
  <si>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</si>
  <si>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</si>
  <si>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</si>
  <si>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</si>
  <si>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</si>
  <si>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</si>
  <si>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</si>
  <si>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</si>
  <si>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</si>
  <si>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</si>
  <si>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</si>
  <si>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</si>
  <si>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</si>
  <si>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</si>
  <si>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</si>
  <si>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</si>
  <si>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</si>
  <si>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</si>
  <si>
    <t>Service charge</t>
  </si>
  <si>
    <t>Incomplete and incosistent meter reading</t>
  </si>
  <si>
    <t xml:space="preserve">On going meetings with Service provider </t>
  </si>
  <si>
    <t>Interest earned</t>
  </si>
  <si>
    <t xml:space="preserve">More income generated than anticipated </t>
  </si>
  <si>
    <t>N/A</t>
  </si>
  <si>
    <t xml:space="preserve">Bad debts and depreciation </t>
  </si>
  <si>
    <t xml:space="preserve">Municipality had no provision for Bad dets and Depreciation due to unallocation </t>
  </si>
  <si>
    <t>Management to address issue on unallocation in due course</t>
  </si>
  <si>
    <t>730624 5527 084</t>
  </si>
  <si>
    <t>810909 0782 088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</si>
</sst>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F800]dddd\,\ mmmm\ dd\,\ yy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0000FF"/>
      <name val="Arial"/>
      <family val="2"/>
    </font>
    <font>
      <u/>
      <sz val="10"/>
      <color rgb="FF80008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5" fontId="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55"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 fillId="0" borderId="0"/>
    <xf numFmtId="0" fontId="3" fillId="0" borderId="0"/>
    <xf numFmtId="0" fontId="4" fillId="0" borderId="0"/>
    <xf numFmtId="178" fontId="4" fillId="0" borderId="0"/>
    <xf numFmtId="0" fontId="3"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3" applyNumberFormat="0" applyFill="0" applyAlignment="0" applyProtection="0"/>
    <xf numFmtId="0" fontId="58" fillId="0" borderId="94" applyNumberFormat="0" applyFill="0" applyAlignment="0" applyProtection="0"/>
    <xf numFmtId="0" fontId="59" fillId="0" borderId="95" applyNumberFormat="0" applyFill="0" applyAlignment="0" applyProtection="0"/>
    <xf numFmtId="0" fontId="59" fillId="0" borderId="0" applyNumberFormat="0" applyFill="0" applyBorder="0" applyAlignment="0" applyProtection="0"/>
    <xf numFmtId="0" fontId="60" fillId="34" borderId="0" applyNumberFormat="0" applyBorder="0" applyAlignment="0" applyProtection="0"/>
    <xf numFmtId="0" fontId="61" fillId="35" borderId="0" applyNumberFormat="0" applyBorder="0" applyAlignment="0" applyProtection="0"/>
    <xf numFmtId="0" fontId="62" fillId="36" borderId="0" applyNumberFormat="0" applyBorder="0" applyAlignment="0" applyProtection="0"/>
    <xf numFmtId="0" fontId="63" fillId="37" borderId="96" applyNumberFormat="0" applyAlignment="0" applyProtection="0"/>
    <xf numFmtId="0" fontId="64" fillId="38" borderId="97" applyNumberFormat="0" applyAlignment="0" applyProtection="0"/>
    <xf numFmtId="0" fontId="65" fillId="38" borderId="96" applyNumberFormat="0" applyAlignment="0" applyProtection="0"/>
    <xf numFmtId="0" fontId="66" fillId="0" borderId="98" applyNumberFormat="0" applyFill="0" applyAlignment="0" applyProtection="0"/>
    <xf numFmtId="0" fontId="67" fillId="39" borderId="99" applyNumberFormat="0" applyAlignment="0" applyProtection="0"/>
    <xf numFmtId="0" fontId="68" fillId="0" borderId="0" applyNumberFormat="0" applyFill="0" applyBorder="0" applyAlignment="0" applyProtection="0"/>
    <xf numFmtId="0" fontId="1" fillId="40" borderId="100" applyNumberFormat="0" applyFont="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1" fillId="64" borderId="0" applyNumberFormat="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cellStyleXfs>
  <cellXfs count="1072">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172" fontId="9" fillId="0" borderId="22" xfId="0" applyNumberFormat="1" applyFont="1" applyBorder="1"/>
    <xf numFmtId="172" fontId="9" fillId="0" borderId="23" xfId="0" applyNumberFormat="1" applyFont="1" applyBorder="1"/>
    <xf numFmtId="0" fontId="9" fillId="0" borderId="17" xfId="0" applyFont="1" applyBorder="1"/>
    <xf numFmtId="172"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70" fontId="9" fillId="0" borderId="10" xfId="0" applyNumberFormat="1" applyFont="1" applyBorder="1"/>
    <xf numFmtId="0" fontId="10" fillId="0" borderId="11" xfId="0" applyFont="1" applyBorder="1" applyAlignment="1">
      <alignment horizontal="left"/>
    </xf>
    <xf numFmtId="0" fontId="9" fillId="0" borderId="11" xfId="0" applyFont="1" applyBorder="1"/>
    <xf numFmtId="173" fontId="9" fillId="0" borderId="0" xfId="0" applyNumberFormat="1" applyFont="1" applyBorder="1"/>
    <xf numFmtId="173" fontId="9" fillId="0" borderId="22" xfId="0" applyNumberFormat="1" applyFont="1" applyBorder="1"/>
    <xf numFmtId="173" fontId="9" fillId="0" borderId="13" xfId="0" applyNumberFormat="1" applyFont="1" applyBorder="1"/>
    <xf numFmtId="173" fontId="9" fillId="0" borderId="26" xfId="0" applyNumberFormat="1" applyFont="1" applyBorder="1"/>
    <xf numFmtId="173" fontId="9" fillId="0" borderId="22" xfId="0" applyNumberFormat="1" applyFont="1" applyFill="1" applyBorder="1"/>
    <xf numFmtId="170" fontId="9" fillId="0" borderId="13" xfId="0" applyNumberFormat="1" applyFont="1" applyFill="1" applyBorder="1"/>
    <xf numFmtId="173" fontId="10" fillId="0" borderId="0" xfId="0" applyNumberFormat="1" applyFont="1" applyBorder="1"/>
    <xf numFmtId="173" fontId="10" fillId="0" borderId="22" xfId="0" applyNumberFormat="1" applyFont="1" applyBorder="1"/>
    <xf numFmtId="173" fontId="10" fillId="0" borderId="26" xfId="0" applyNumberFormat="1" applyFont="1" applyBorder="1"/>
    <xf numFmtId="170" fontId="10" fillId="0" borderId="10" xfId="0" applyNumberFormat="1" applyFont="1" applyBorder="1"/>
    <xf numFmtId="0" fontId="10" fillId="0" borderId="27" xfId="0" applyFont="1" applyBorder="1"/>
    <xf numFmtId="173" fontId="10" fillId="0" borderId="28" xfId="0" applyNumberFormat="1" applyFont="1" applyBorder="1"/>
    <xf numFmtId="173" fontId="10" fillId="0" borderId="29" xfId="0" applyNumberFormat="1" applyFont="1" applyBorder="1"/>
    <xf numFmtId="173" fontId="10" fillId="0" borderId="30" xfId="0" applyNumberFormat="1" applyFont="1" applyBorder="1"/>
    <xf numFmtId="0" fontId="14" fillId="0" borderId="0" xfId="0" applyFont="1" applyBorder="1"/>
    <xf numFmtId="0" fontId="9" fillId="0" borderId="0" xfId="0" applyFont="1" applyBorder="1" applyAlignment="1">
      <alignment horizontal="center"/>
    </xf>
    <xf numFmtId="170" fontId="10" fillId="0" borderId="0" xfId="0" applyNumberFormat="1" applyFont="1" applyFill="1" applyBorder="1"/>
    <xf numFmtId="0" fontId="13" fillId="0" borderId="0" xfId="0" quotePrefix="1" applyFont="1" applyBorder="1"/>
    <xf numFmtId="0" fontId="10" fillId="0" borderId="0" xfId="0" applyFont="1" applyBorder="1"/>
    <xf numFmtId="170"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6" fontId="9" fillId="0" borderId="0" xfId="28" applyNumberFormat="1" applyFont="1"/>
    <xf numFmtId="0" fontId="9" fillId="0" borderId="0" xfId="0" applyFont="1" applyBorder="1"/>
    <xf numFmtId="0" fontId="9" fillId="0" borderId="0" xfId="0" applyFont="1" applyAlignment="1">
      <alignment horizontal="center"/>
    </xf>
    <xf numFmtId="166" fontId="9" fillId="0" borderId="0" xfId="28" applyNumberFormat="1" applyFont="1" applyAlignment="1">
      <alignment horizontal="center"/>
    </xf>
    <xf numFmtId="169" fontId="9" fillId="0" borderId="0" xfId="42" applyNumberFormat="1" applyFont="1" applyAlignment="1">
      <alignment horizontal="center"/>
    </xf>
    <xf numFmtId="166" fontId="9" fillId="0" borderId="0" xfId="0" applyNumberFormat="1" applyFont="1"/>
    <xf numFmtId="169" fontId="9" fillId="0" borderId="0" xfId="0" applyNumberFormat="1" applyFont="1"/>
    <xf numFmtId="173" fontId="10" fillId="0" borderId="31" xfId="0" applyNumberFormat="1" applyFont="1" applyBorder="1"/>
    <xf numFmtId="173" fontId="10" fillId="0" borderId="32" xfId="0" applyNumberFormat="1" applyFont="1" applyBorder="1"/>
    <xf numFmtId="169" fontId="9" fillId="0" borderId="0" xfId="0" applyNumberFormat="1" applyFont="1" applyAlignment="1">
      <alignment horizontal="center"/>
    </xf>
    <xf numFmtId="173" fontId="10" fillId="0" borderId="24" xfId="0" applyNumberFormat="1" applyFont="1" applyBorder="1"/>
    <xf numFmtId="173" fontId="10" fillId="0" borderId="33" xfId="0" applyNumberFormat="1" applyFont="1" applyBorder="1"/>
    <xf numFmtId="0" fontId="14" fillId="0" borderId="0" xfId="0" applyFont="1" applyBorder="1" applyAlignment="1">
      <alignment horizontal="left"/>
    </xf>
    <xf numFmtId="170"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3" fontId="10" fillId="0" borderId="34" xfId="0" applyNumberFormat="1" applyFont="1" applyBorder="1"/>
    <xf numFmtId="170" fontId="9" fillId="0" borderId="0" xfId="0" applyNumberFormat="1" applyFont="1" applyBorder="1"/>
    <xf numFmtId="170"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8" fontId="10" fillId="0" borderId="0" xfId="0" applyNumberFormat="1" applyFont="1" applyBorder="1"/>
    <xf numFmtId="0" fontId="9" fillId="0" borderId="16" xfId="0" applyFont="1" applyBorder="1"/>
    <xf numFmtId="0" fontId="10" fillId="0" borderId="35" xfId="0" applyFont="1" applyBorder="1"/>
    <xf numFmtId="165" fontId="9" fillId="0" borderId="0" xfId="28" applyFont="1" applyBorder="1"/>
    <xf numFmtId="0" fontId="10" fillId="0" borderId="16" xfId="0" applyFont="1" applyBorder="1"/>
    <xf numFmtId="0" fontId="14" fillId="0" borderId="0" xfId="0" applyFont="1"/>
    <xf numFmtId="0" fontId="9" fillId="0" borderId="0" xfId="0" applyFont="1" applyFill="1" applyBorder="1"/>
    <xf numFmtId="170" fontId="9" fillId="0" borderId="0" xfId="0" applyNumberFormat="1" applyFont="1" applyFill="1" applyBorder="1"/>
    <xf numFmtId="9" fontId="9" fillId="0" borderId="0" xfId="42" applyFont="1"/>
    <xf numFmtId="173" fontId="9" fillId="0" borderId="36" xfId="0" applyNumberFormat="1" applyFont="1" applyBorder="1"/>
    <xf numFmtId="0" fontId="9" fillId="0" borderId="0" xfId="0" applyFont="1" applyFill="1"/>
    <xf numFmtId="173" fontId="9" fillId="0" borderId="36" xfId="0" applyNumberFormat="1" applyFont="1" applyFill="1" applyBorder="1"/>
    <xf numFmtId="173" fontId="10" fillId="0" borderId="22" xfId="0" applyNumberFormat="1" applyFont="1" applyFill="1" applyBorder="1"/>
    <xf numFmtId="170" fontId="9" fillId="0" borderId="22" xfId="0" applyNumberFormat="1" applyFont="1" applyBorder="1"/>
    <xf numFmtId="170"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3" fontId="9" fillId="0" borderId="37" xfId="0" applyNumberFormat="1" applyFont="1" applyBorder="1"/>
    <xf numFmtId="173" fontId="10" fillId="0" borderId="10" xfId="0" applyNumberFormat="1" applyFont="1" applyBorder="1"/>
    <xf numFmtId="173" fontId="10" fillId="0" borderId="37" xfId="0" applyNumberFormat="1" applyFont="1" applyBorder="1"/>
    <xf numFmtId="0" fontId="9" fillId="0" borderId="11" xfId="0" applyFont="1" applyBorder="1" applyAlignment="1">
      <alignment horizontal="left" wrapText="1" indent="1"/>
    </xf>
    <xf numFmtId="173"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3" fontId="9" fillId="0" borderId="24" xfId="0" applyNumberFormat="1" applyFont="1" applyBorder="1"/>
    <xf numFmtId="173" fontId="9" fillId="0" borderId="33" xfId="0" applyNumberFormat="1" applyFont="1" applyBorder="1"/>
    <xf numFmtId="170" fontId="9" fillId="0" borderId="0" xfId="28" applyNumberFormat="1" applyFont="1" applyBorder="1"/>
    <xf numFmtId="166" fontId="9" fillId="0" borderId="0" xfId="28" applyNumberFormat="1" applyFont="1" applyBorder="1"/>
    <xf numFmtId="0" fontId="9" fillId="0" borderId="19" xfId="0" applyFont="1" applyBorder="1" applyAlignment="1">
      <alignment horizontal="center"/>
    </xf>
    <xf numFmtId="169"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9" fontId="9" fillId="0" borderId="22" xfId="42" applyNumberFormat="1" applyFont="1" applyFill="1" applyBorder="1" applyAlignment="1">
      <alignment horizontal="center" vertical="top" wrapText="1"/>
    </xf>
    <xf numFmtId="169"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3" fontId="9" fillId="0" borderId="10" xfId="0" applyNumberFormat="1" applyFont="1" applyBorder="1"/>
    <xf numFmtId="166"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3" fontId="9" fillId="0" borderId="46" xfId="0" applyNumberFormat="1" applyFont="1" applyBorder="1"/>
    <xf numFmtId="173"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71"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3" fontId="9" fillId="0" borderId="38" xfId="0" applyNumberFormat="1" applyFont="1" applyBorder="1"/>
    <xf numFmtId="173"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70"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70"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3"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3" fontId="10" fillId="0" borderId="46" xfId="0" applyNumberFormat="1" applyFont="1" applyBorder="1"/>
    <xf numFmtId="173" fontId="9" fillId="0" borderId="51" xfId="0" applyNumberFormat="1" applyFont="1" applyBorder="1"/>
    <xf numFmtId="172" fontId="9" fillId="0" borderId="26" xfId="0" applyNumberFormat="1" applyFont="1" applyBorder="1"/>
    <xf numFmtId="172" fontId="9" fillId="0" borderId="10" xfId="0" applyNumberFormat="1" applyFont="1" applyBorder="1"/>
    <xf numFmtId="171"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2" fontId="9" fillId="0" borderId="46" xfId="0" applyNumberFormat="1" applyFont="1" applyBorder="1"/>
    <xf numFmtId="171" fontId="9" fillId="0" borderId="33" xfId="0" applyNumberFormat="1" applyFont="1" applyFill="1" applyBorder="1"/>
    <xf numFmtId="171" fontId="9" fillId="0" borderId="24" xfId="0" applyNumberFormat="1" applyFont="1" applyFill="1" applyBorder="1"/>
    <xf numFmtId="171" fontId="9" fillId="0" borderId="50" xfId="0" applyNumberFormat="1" applyFont="1" applyFill="1" applyBorder="1"/>
    <xf numFmtId="9" fontId="10" fillId="0" borderId="43" xfId="42" applyFont="1" applyFill="1" applyBorder="1" applyAlignment="1">
      <alignment horizontal="center" vertical="center" wrapText="1"/>
    </xf>
    <xf numFmtId="174" fontId="10" fillId="0" borderId="22" xfId="42" applyNumberFormat="1" applyFont="1" applyBorder="1"/>
    <xf numFmtId="174" fontId="9" fillId="0" borderId="22" xfId="42" applyNumberFormat="1" applyFont="1" applyBorder="1"/>
    <xf numFmtId="174" fontId="9" fillId="0" borderId="36" xfId="42" applyNumberFormat="1" applyFont="1" applyBorder="1"/>
    <xf numFmtId="172" fontId="9" fillId="0" borderId="19" xfId="0" applyNumberFormat="1" applyFont="1" applyBorder="1"/>
    <xf numFmtId="172" fontId="9" fillId="0" borderId="33" xfId="0" applyNumberFormat="1" applyFont="1" applyBorder="1"/>
    <xf numFmtId="174" fontId="9" fillId="0" borderId="24" xfId="42" applyNumberFormat="1" applyFont="1" applyBorder="1"/>
    <xf numFmtId="172" fontId="9" fillId="0" borderId="50" xfId="0" applyNumberFormat="1" applyFont="1" applyBorder="1"/>
    <xf numFmtId="172" fontId="9" fillId="0" borderId="39" xfId="0" applyNumberFormat="1" applyFont="1" applyBorder="1"/>
    <xf numFmtId="172" fontId="9" fillId="0" borderId="25" xfId="0" applyNumberFormat="1" applyFont="1" applyBorder="1"/>
    <xf numFmtId="174" fontId="9" fillId="0" borderId="23" xfId="42" applyNumberFormat="1" applyFont="1" applyBorder="1"/>
    <xf numFmtId="172" fontId="9" fillId="0" borderId="53" xfId="0" applyNumberFormat="1" applyFont="1" applyBorder="1"/>
    <xf numFmtId="172" fontId="9" fillId="25" borderId="22" xfId="0" applyNumberFormat="1" applyFont="1" applyFill="1" applyBorder="1"/>
    <xf numFmtId="172" fontId="9" fillId="25" borderId="24" xfId="0" applyNumberFormat="1" applyFont="1" applyFill="1" applyBorder="1"/>
    <xf numFmtId="174" fontId="9" fillId="25" borderId="22" xfId="42" applyNumberFormat="1" applyFont="1" applyFill="1" applyBorder="1"/>
    <xf numFmtId="174"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3"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3" fontId="10" fillId="0" borderId="50" xfId="0" applyNumberFormat="1" applyFont="1" applyBorder="1"/>
    <xf numFmtId="173"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3" fontId="10" fillId="0" borderId="55" xfId="0" applyNumberFormat="1" applyFont="1" applyBorder="1"/>
    <xf numFmtId="173"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3"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3" fontId="10" fillId="0" borderId="10" xfId="0" applyNumberFormat="1" applyFont="1" applyBorder="1" applyAlignment="1">
      <alignment vertical="top"/>
    </xf>
    <xf numFmtId="173" fontId="10" fillId="0" borderId="26" xfId="0" applyNumberFormat="1" applyFont="1" applyBorder="1" applyAlignment="1">
      <alignment vertical="top"/>
    </xf>
    <xf numFmtId="173" fontId="10" fillId="0" borderId="22" xfId="0" applyNumberFormat="1" applyFont="1" applyBorder="1" applyAlignment="1">
      <alignment vertical="top"/>
    </xf>
    <xf numFmtId="173"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3" fontId="9" fillId="0" borderId="45" xfId="0" applyNumberFormat="1" applyFont="1" applyBorder="1"/>
    <xf numFmtId="173" fontId="10" fillId="0" borderId="45" xfId="0" applyNumberFormat="1" applyFont="1" applyBorder="1"/>
    <xf numFmtId="173" fontId="10" fillId="0" borderId="61" xfId="0" applyNumberFormat="1" applyFont="1" applyBorder="1"/>
    <xf numFmtId="173" fontId="9" fillId="0" borderId="55" xfId="0" applyNumberFormat="1" applyFont="1" applyBorder="1"/>
    <xf numFmtId="173" fontId="9" fillId="0" borderId="61" xfId="0" applyNumberFormat="1" applyFont="1" applyBorder="1"/>
    <xf numFmtId="173" fontId="9" fillId="0" borderId="47" xfId="0" applyNumberFormat="1" applyFont="1" applyBorder="1"/>
    <xf numFmtId="173" fontId="9" fillId="0" borderId="62" xfId="0" applyNumberFormat="1" applyFont="1" applyBorder="1"/>
    <xf numFmtId="173" fontId="10" fillId="0" borderId="58" xfId="0" applyNumberFormat="1" applyFont="1" applyBorder="1"/>
    <xf numFmtId="170" fontId="9" fillId="0" borderId="46" xfId="0" applyNumberFormat="1" applyFont="1" applyBorder="1"/>
    <xf numFmtId="0" fontId="10" fillId="0" borderId="63" xfId="0" applyFont="1" applyBorder="1" applyAlignment="1">
      <alignment horizontal="center"/>
    </xf>
    <xf numFmtId="170"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3" fontId="10" fillId="0" borderId="64" xfId="0" applyNumberFormat="1" applyFont="1" applyBorder="1"/>
    <xf numFmtId="0" fontId="10" fillId="0" borderId="15" xfId="0" applyFont="1" applyBorder="1"/>
    <xf numFmtId="173" fontId="9" fillId="25" borderId="22" xfId="0" applyNumberFormat="1" applyFont="1" applyFill="1" applyBorder="1"/>
    <xf numFmtId="173" fontId="9" fillId="25" borderId="24" xfId="0" applyNumberFormat="1" applyFont="1" applyFill="1" applyBorder="1"/>
    <xf numFmtId="0" fontId="10" fillId="0" borderId="65" xfId="0" applyFont="1" applyFill="1" applyBorder="1" applyAlignment="1">
      <alignment horizontal="centerContinuous" vertical="center" wrapText="1"/>
    </xf>
    <xf numFmtId="169"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9"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71" fontId="9" fillId="0" borderId="0" xfId="0" applyNumberFormat="1" applyFont="1" applyFill="1" applyBorder="1"/>
    <xf numFmtId="174" fontId="9" fillId="0" borderId="0" xfId="42" applyNumberFormat="1" applyFont="1" applyBorder="1"/>
    <xf numFmtId="169"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3" fontId="9" fillId="0" borderId="58" xfId="0" applyNumberFormat="1" applyFont="1" applyBorder="1"/>
    <xf numFmtId="170" fontId="10" fillId="0" borderId="26" xfId="0" applyNumberFormat="1" applyFont="1" applyBorder="1"/>
    <xf numFmtId="170" fontId="10" fillId="0" borderId="22" xfId="0" applyNumberFormat="1" applyFont="1" applyBorder="1"/>
    <xf numFmtId="170" fontId="10" fillId="0" borderId="46" xfId="0" applyNumberFormat="1" applyFont="1" applyBorder="1"/>
    <xf numFmtId="169" fontId="10" fillId="0" borderId="22" xfId="42" applyNumberFormat="1" applyFont="1" applyFill="1" applyBorder="1" applyAlignment="1">
      <alignment horizontal="center" vertical="top" wrapText="1"/>
    </xf>
    <xf numFmtId="169" fontId="10" fillId="0" borderId="31" xfId="42" applyNumberFormat="1" applyFont="1" applyFill="1" applyBorder="1" applyAlignment="1">
      <alignment horizontal="center" vertical="top" wrapText="1"/>
    </xf>
    <xf numFmtId="173" fontId="9" fillId="0" borderId="30" xfId="0" applyNumberFormat="1" applyFont="1" applyBorder="1"/>
    <xf numFmtId="173" fontId="9" fillId="0" borderId="29" xfId="0" applyNumberFormat="1" applyFont="1" applyBorder="1"/>
    <xf numFmtId="169" fontId="9" fillId="0" borderId="29" xfId="42" applyNumberFormat="1" applyFont="1" applyFill="1" applyBorder="1" applyAlignment="1">
      <alignment horizontal="center" vertical="top" wrapText="1"/>
    </xf>
    <xf numFmtId="173"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9"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3" fontId="9" fillId="0" borderId="69" xfId="0" applyNumberFormat="1" applyFont="1" applyBorder="1"/>
    <xf numFmtId="0" fontId="10" fillId="0" borderId="35" xfId="0" applyFont="1" applyFill="1" applyBorder="1"/>
    <xf numFmtId="170" fontId="10" fillId="0" borderId="55" xfId="0" applyNumberFormat="1" applyFont="1" applyBorder="1"/>
    <xf numFmtId="173"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9" fontId="9" fillId="0" borderId="36" xfId="42" applyNumberFormat="1" applyFont="1" applyFill="1" applyBorder="1" applyAlignment="1">
      <alignment horizontal="center" vertical="top" wrapText="1"/>
    </xf>
    <xf numFmtId="170" fontId="9" fillId="0" borderId="0" xfId="28" applyNumberFormat="1" applyFont="1" applyFill="1" applyBorder="1"/>
    <xf numFmtId="0" fontId="10" fillId="0" borderId="67" xfId="0" applyFont="1" applyFill="1" applyBorder="1" applyAlignment="1">
      <alignment horizontal="center" vertical="center" wrapText="1"/>
    </xf>
    <xf numFmtId="173" fontId="10" fillId="25" borderId="22" xfId="0" applyNumberFormat="1" applyFont="1" applyFill="1" applyBorder="1"/>
    <xf numFmtId="173" fontId="9" fillId="25" borderId="36" xfId="0" applyNumberFormat="1" applyFont="1" applyFill="1" applyBorder="1"/>
    <xf numFmtId="173"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3"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70"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9"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3" fontId="9" fillId="0" borderId="14" xfId="0" applyNumberFormat="1" applyFont="1" applyBorder="1"/>
    <xf numFmtId="173"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3" fontId="9" fillId="0" borderId="12" xfId="0" applyNumberFormat="1" applyFont="1" applyBorder="1"/>
    <xf numFmtId="173"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3"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4" fontId="10" fillId="0" borderId="36" xfId="42" applyNumberFormat="1" applyFont="1" applyBorder="1"/>
    <xf numFmtId="173" fontId="9" fillId="28" borderId="26" xfId="0" applyNumberFormat="1" applyFont="1" applyFill="1" applyBorder="1" applyProtection="1">
      <protection locked="0"/>
    </xf>
    <xf numFmtId="173" fontId="9" fillId="28" borderId="22" xfId="0" applyNumberFormat="1" applyFont="1" applyFill="1" applyBorder="1" applyProtection="1">
      <protection locked="0"/>
    </xf>
    <xf numFmtId="173"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9" fontId="9" fillId="0" borderId="10" xfId="42" applyNumberFormat="1" applyFont="1" applyFill="1" applyBorder="1" applyAlignment="1" applyProtection="1">
      <alignment horizontal="center" vertical="top" wrapText="1"/>
    </xf>
    <xf numFmtId="169" fontId="9" fillId="0" borderId="45" xfId="42" applyNumberFormat="1" applyFont="1" applyFill="1" applyBorder="1" applyAlignment="1" applyProtection="1">
      <alignment horizontal="center" vertical="top" wrapText="1"/>
    </xf>
    <xf numFmtId="169" fontId="9" fillId="0" borderId="22" xfId="42" applyNumberFormat="1" applyFont="1" applyFill="1" applyBorder="1" applyAlignment="1" applyProtection="1">
      <alignment horizontal="center" vertical="top" wrapText="1"/>
    </xf>
    <xf numFmtId="169" fontId="9" fillId="0" borderId="46" xfId="42" applyNumberFormat="1" applyFont="1" applyFill="1" applyBorder="1" applyAlignment="1" applyProtection="1">
      <alignment horizontal="center" vertical="top" wrapText="1"/>
    </xf>
    <xf numFmtId="173" fontId="9" fillId="28" borderId="37" xfId="0" applyNumberFormat="1" applyFont="1" applyFill="1" applyBorder="1" applyProtection="1">
      <protection locked="0"/>
    </xf>
    <xf numFmtId="173"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70" fontId="9" fillId="25" borderId="10" xfId="0" applyNumberFormat="1" applyFont="1" applyFill="1" applyBorder="1"/>
    <xf numFmtId="169" fontId="10" fillId="25" borderId="22" xfId="42" applyNumberFormat="1" applyFont="1" applyFill="1" applyBorder="1" applyAlignment="1">
      <alignment horizontal="center" vertical="top" wrapText="1"/>
    </xf>
    <xf numFmtId="170"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3"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3" fontId="9" fillId="0" borderId="22" xfId="0" applyNumberFormat="1" applyFont="1" applyFill="1" applyBorder="1" applyProtection="1"/>
    <xf numFmtId="173" fontId="9" fillId="0" borderId="36" xfId="0" applyNumberFormat="1" applyFont="1" applyFill="1" applyBorder="1" applyProtection="1"/>
    <xf numFmtId="169"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3"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3" fontId="10" fillId="0" borderId="22" xfId="0" applyNumberFormat="1" applyFont="1" applyBorder="1" applyAlignment="1">
      <alignment horizontal="right"/>
    </xf>
    <xf numFmtId="173" fontId="10" fillId="0" borderId="13" xfId="0" applyNumberFormat="1" applyFont="1" applyBorder="1" applyAlignment="1">
      <alignment horizontal="right"/>
    </xf>
    <xf numFmtId="173" fontId="10" fillId="0" borderId="0" xfId="0" applyNumberFormat="1" applyFont="1" applyBorder="1" applyAlignment="1">
      <alignment horizontal="right"/>
    </xf>
    <xf numFmtId="173"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70" fontId="9" fillId="0" borderId="13" xfId="0" applyNumberFormat="1" applyFont="1" applyBorder="1"/>
    <xf numFmtId="0" fontId="10" fillId="0" borderId="11" xfId="0" applyFont="1" applyBorder="1" applyAlignment="1" applyProtection="1">
      <alignment horizontal="left"/>
    </xf>
    <xf numFmtId="173" fontId="10" fillId="0" borderId="43" xfId="0" applyNumberFormat="1" applyFont="1" applyBorder="1" applyAlignment="1" applyProtection="1">
      <alignment horizontal="right"/>
    </xf>
    <xf numFmtId="173" fontId="10" fillId="0" borderId="73" xfId="0" applyNumberFormat="1" applyFont="1" applyBorder="1" applyAlignment="1" applyProtection="1">
      <alignment horizontal="right"/>
    </xf>
    <xf numFmtId="173" fontId="10" fillId="0" borderId="74" xfId="0" applyNumberFormat="1" applyFont="1" applyBorder="1" applyAlignment="1" applyProtection="1">
      <alignment horizontal="right"/>
    </xf>
    <xf numFmtId="173" fontId="10" fillId="0" borderId="52" xfId="0" applyNumberFormat="1" applyFont="1" applyBorder="1" applyAlignment="1" applyProtection="1">
      <alignment horizontal="right"/>
    </xf>
    <xf numFmtId="170" fontId="10" fillId="0" borderId="18" xfId="0" applyNumberFormat="1" applyFont="1" applyBorder="1"/>
    <xf numFmtId="170"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3" fontId="9" fillId="0" borderId="24" xfId="0" applyNumberFormat="1" applyFont="1" applyBorder="1" applyProtection="1"/>
    <xf numFmtId="173" fontId="9" fillId="0" borderId="17" xfId="0" applyNumberFormat="1" applyFont="1" applyBorder="1" applyProtection="1"/>
    <xf numFmtId="173" fontId="9" fillId="0" borderId="14" xfId="0" applyNumberFormat="1" applyFont="1" applyBorder="1" applyProtection="1"/>
    <xf numFmtId="173"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3" fontId="9" fillId="0" borderId="23" xfId="0" applyNumberFormat="1" applyFont="1" applyBorder="1" applyProtection="1"/>
    <xf numFmtId="173" fontId="9" fillId="0" borderId="65" xfId="0" applyNumberFormat="1" applyFont="1" applyBorder="1" applyProtection="1"/>
    <xf numFmtId="173" fontId="9" fillId="0" borderId="12" xfId="0" applyNumberFormat="1" applyFont="1" applyBorder="1" applyProtection="1"/>
    <xf numFmtId="173"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3" fontId="10" fillId="0" borderId="22" xfId="0" applyNumberFormat="1" applyFont="1" applyBorder="1" applyAlignment="1" applyProtection="1">
      <alignment horizontal="right"/>
    </xf>
    <xf numFmtId="173" fontId="10" fillId="0" borderId="13" xfId="0" applyNumberFormat="1" applyFont="1" applyBorder="1" applyAlignment="1" applyProtection="1">
      <alignment horizontal="right"/>
    </xf>
    <xf numFmtId="173" fontId="10" fillId="0" borderId="0" xfId="0" applyNumberFormat="1" applyFont="1" applyBorder="1" applyAlignment="1" applyProtection="1">
      <alignment horizontal="right"/>
    </xf>
    <xf numFmtId="173" fontId="10" fillId="0" borderId="26" xfId="0" applyNumberFormat="1" applyFont="1" applyBorder="1" applyAlignment="1" applyProtection="1">
      <alignment horizontal="right"/>
    </xf>
    <xf numFmtId="173" fontId="9" fillId="28" borderId="0" xfId="0" applyNumberFormat="1" applyFont="1" applyFill="1" applyBorder="1" applyProtection="1">
      <protection locked="0"/>
    </xf>
    <xf numFmtId="170" fontId="9" fillId="0" borderId="10" xfId="0" applyNumberFormat="1" applyFont="1" applyFill="1" applyBorder="1"/>
    <xf numFmtId="173" fontId="10" fillId="0" borderId="74" xfId="0" applyNumberFormat="1" applyFont="1" applyBorder="1"/>
    <xf numFmtId="173" fontId="10" fillId="0" borderId="52" xfId="0" applyNumberFormat="1" applyFont="1" applyBorder="1"/>
    <xf numFmtId="170" fontId="10" fillId="0" borderId="13" xfId="0" applyNumberFormat="1" applyFont="1" applyBorder="1"/>
    <xf numFmtId="0" fontId="9" fillId="0" borderId="29" xfId="0" applyNumberFormat="1" applyFont="1" applyBorder="1" applyAlignment="1" applyProtection="1">
      <alignment horizontal="center"/>
      <protection locked="0"/>
    </xf>
    <xf numFmtId="173" fontId="10" fillId="0" borderId="29" xfId="0" applyNumberFormat="1" applyFont="1" applyFill="1" applyBorder="1"/>
    <xf numFmtId="173" fontId="10" fillId="0" borderId="75" xfId="0" applyNumberFormat="1" applyFont="1" applyBorder="1"/>
    <xf numFmtId="170" fontId="10" fillId="0" borderId="76" xfId="0" applyNumberFormat="1" applyFont="1" applyBorder="1"/>
    <xf numFmtId="170"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70"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70"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6"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3" fontId="10" fillId="0" borderId="37" xfId="0" applyNumberFormat="1" applyFont="1" applyBorder="1" applyAlignment="1">
      <alignment horizontal="right"/>
    </xf>
    <xf numFmtId="173" fontId="10" fillId="0" borderId="78" xfId="0" applyNumberFormat="1" applyFont="1" applyBorder="1" applyAlignment="1" applyProtection="1">
      <alignment horizontal="right"/>
    </xf>
    <xf numFmtId="173" fontId="9" fillId="0" borderId="69" xfId="0" applyNumberFormat="1" applyFont="1" applyBorder="1" applyProtection="1"/>
    <xf numFmtId="173" fontId="9" fillId="0" borderId="79" xfId="0" applyNumberFormat="1" applyFont="1" applyBorder="1" applyProtection="1"/>
    <xf numFmtId="173" fontId="10" fillId="0" borderId="37" xfId="0" applyNumberFormat="1" applyFont="1" applyBorder="1" applyAlignment="1" applyProtection="1">
      <alignment horizontal="right"/>
    </xf>
    <xf numFmtId="173" fontId="10" fillId="0" borderId="78" xfId="0" applyNumberFormat="1" applyFont="1" applyBorder="1"/>
    <xf numFmtId="173" fontId="10" fillId="0" borderId="34" xfId="0" applyNumberFormat="1" applyFont="1" applyFill="1" applyBorder="1"/>
    <xf numFmtId="0" fontId="9" fillId="0" borderId="25" xfId="0" applyFont="1" applyBorder="1"/>
    <xf numFmtId="0" fontId="9" fillId="0" borderId="23" xfId="0" applyFont="1" applyBorder="1"/>
    <xf numFmtId="173" fontId="10" fillId="0" borderId="30" xfId="0" applyNumberFormat="1" applyFont="1" applyFill="1" applyBorder="1"/>
    <xf numFmtId="173" fontId="10" fillId="0" borderId="49" xfId="0" applyNumberFormat="1" applyFont="1" applyBorder="1"/>
    <xf numFmtId="173" fontId="9" fillId="0" borderId="43" xfId="0" applyNumberFormat="1" applyFont="1" applyBorder="1"/>
    <xf numFmtId="9" fontId="9" fillId="0" borderId="43" xfId="42" applyFont="1" applyBorder="1" applyAlignment="1">
      <alignment horizontal="center"/>
    </xf>
    <xf numFmtId="173"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3" fontId="10" fillId="0" borderId="55" xfId="0" applyNumberFormat="1" applyFont="1" applyBorder="1" applyAlignment="1">
      <alignment vertical="top"/>
    </xf>
    <xf numFmtId="173" fontId="10" fillId="0" borderId="32" xfId="0" applyNumberFormat="1" applyFont="1" applyBorder="1" applyAlignment="1">
      <alignment vertical="top"/>
    </xf>
    <xf numFmtId="173" fontId="10" fillId="0" borderId="31" xfId="0" applyNumberFormat="1" applyFont="1" applyBorder="1" applyAlignment="1">
      <alignment vertical="top"/>
    </xf>
    <xf numFmtId="9" fontId="10" fillId="0" borderId="31" xfId="42" applyFont="1" applyBorder="1" applyAlignment="1">
      <alignment horizontal="center" vertical="top"/>
    </xf>
    <xf numFmtId="173" fontId="10" fillId="0" borderId="47" xfId="0" applyNumberFormat="1" applyFont="1" applyBorder="1" applyAlignment="1">
      <alignment vertical="top"/>
    </xf>
    <xf numFmtId="0" fontId="10" fillId="0" borderId="11" xfId="0" applyNumberFormat="1" applyFont="1" applyBorder="1" applyAlignment="1">
      <alignment wrapText="1"/>
    </xf>
    <xf numFmtId="173" fontId="10" fillId="0" borderId="43" xfId="0" applyNumberFormat="1" applyFont="1" applyBorder="1" applyAlignment="1">
      <alignment vertical="top"/>
    </xf>
    <xf numFmtId="173" fontId="10" fillId="0" borderId="49" xfId="0" applyNumberFormat="1" applyFont="1" applyBorder="1" applyAlignment="1">
      <alignment vertical="top"/>
    </xf>
    <xf numFmtId="173" fontId="10" fillId="0" borderId="60" xfId="0" applyNumberFormat="1" applyFont="1" applyBorder="1" applyAlignment="1">
      <alignment vertical="top"/>
    </xf>
    <xf numFmtId="173" fontId="9" fillId="0" borderId="10" xfId="0" applyNumberFormat="1" applyFont="1" applyFill="1" applyBorder="1"/>
    <xf numFmtId="173" fontId="9" fillId="0" borderId="45" xfId="0" applyNumberFormat="1" applyFont="1" applyFill="1" applyBorder="1"/>
    <xf numFmtId="173" fontId="9" fillId="0" borderId="10" xfId="0" applyNumberFormat="1" applyFont="1" applyFill="1" applyBorder="1" applyProtection="1">
      <protection locked="0"/>
    </xf>
    <xf numFmtId="173" fontId="9" fillId="0" borderId="45" xfId="0" applyNumberFormat="1" applyFont="1" applyFill="1" applyBorder="1" applyProtection="1">
      <protection locked="0"/>
    </xf>
    <xf numFmtId="173" fontId="9" fillId="0" borderId="22" xfId="0" applyNumberFormat="1" applyFont="1" applyFill="1" applyBorder="1" applyProtection="1">
      <protection locked="0"/>
    </xf>
    <xf numFmtId="173"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3" fontId="10" fillId="0" borderId="38" xfId="0" applyNumberFormat="1" applyFont="1" applyFill="1" applyBorder="1"/>
    <xf numFmtId="173" fontId="10" fillId="0" borderId="64" xfId="0" applyNumberFormat="1" applyFont="1" applyFill="1" applyBorder="1"/>
    <xf numFmtId="9" fontId="10" fillId="0" borderId="29" xfId="42" applyFont="1" applyFill="1" applyBorder="1" applyAlignment="1">
      <alignment horizontal="center"/>
    </xf>
    <xf numFmtId="173" fontId="10" fillId="0" borderId="56" xfId="0" applyNumberFormat="1" applyFont="1" applyFill="1" applyBorder="1"/>
    <xf numFmtId="173" fontId="10" fillId="0" borderId="60" xfId="0" applyNumberFormat="1" applyFont="1" applyBorder="1"/>
    <xf numFmtId="173"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3" fontId="9" fillId="0" borderId="26" xfId="0" applyNumberFormat="1" applyFont="1" applyFill="1" applyBorder="1" applyProtection="1">
      <protection locked="0"/>
    </xf>
    <xf numFmtId="169" fontId="9" fillId="0" borderId="43" xfId="42" applyNumberFormat="1" applyFont="1" applyFill="1" applyBorder="1" applyAlignment="1">
      <alignment horizontal="center" vertical="top" wrapText="1"/>
    </xf>
    <xf numFmtId="169" fontId="10" fillId="0" borderId="43" xfId="42" applyNumberFormat="1" applyFont="1" applyFill="1" applyBorder="1" applyAlignment="1">
      <alignment horizontal="center" vertical="top" wrapText="1"/>
    </xf>
    <xf numFmtId="0" fontId="9" fillId="0" borderId="59" xfId="0" applyFont="1" applyBorder="1"/>
    <xf numFmtId="173"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70" fontId="9" fillId="0" borderId="38" xfId="0" quotePrefix="1" applyNumberFormat="1" applyFont="1" applyBorder="1" applyAlignment="1">
      <alignment horizontal="center"/>
    </xf>
    <xf numFmtId="170" fontId="9" fillId="0" borderId="30" xfId="0" quotePrefix="1" applyNumberFormat="1" applyFont="1" applyBorder="1" applyAlignment="1">
      <alignment horizontal="center"/>
    </xf>
    <xf numFmtId="170" fontId="9" fillId="0" borderId="29" xfId="0" quotePrefix="1" applyNumberFormat="1" applyFont="1" applyBorder="1" applyAlignment="1">
      <alignment horizontal="center"/>
    </xf>
    <xf numFmtId="170" fontId="9" fillId="0" borderId="29" xfId="0" applyNumberFormat="1" applyFont="1" applyBorder="1" applyAlignment="1">
      <alignment horizontal="center"/>
    </xf>
    <xf numFmtId="170"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3" fontId="9" fillId="0" borderId="67" xfId="0" applyNumberFormat="1" applyFont="1" applyBorder="1"/>
    <xf numFmtId="173" fontId="9" fillId="0" borderId="52" xfId="0" applyNumberFormat="1" applyFont="1" applyBorder="1"/>
    <xf numFmtId="173" fontId="9" fillId="0" borderId="49" xfId="0" applyNumberFormat="1" applyFont="1" applyBorder="1"/>
    <xf numFmtId="0" fontId="13" fillId="0" borderId="11" xfId="0" applyNumberFormat="1" applyFont="1" applyBorder="1" applyAlignment="1">
      <alignment horizontal="left" indent="2"/>
    </xf>
    <xf numFmtId="169" fontId="10" fillId="0" borderId="37" xfId="42" applyNumberFormat="1" applyFont="1" applyFill="1" applyBorder="1" applyAlignment="1">
      <alignment horizontal="center" vertical="top" wrapText="1"/>
    </xf>
    <xf numFmtId="173" fontId="10" fillId="0" borderId="54" xfId="0" applyNumberFormat="1" applyFont="1" applyBorder="1"/>
    <xf numFmtId="173" fontId="10" fillId="0" borderId="62" xfId="0" applyNumberFormat="1" applyFont="1" applyBorder="1"/>
    <xf numFmtId="173" fontId="10" fillId="0" borderId="36" xfId="0" applyNumberFormat="1" applyFont="1" applyBorder="1"/>
    <xf numFmtId="169" fontId="10" fillId="0" borderId="36" xfId="42" applyNumberFormat="1" applyFont="1" applyFill="1" applyBorder="1" applyAlignment="1">
      <alignment horizontal="center" vertical="top" wrapText="1"/>
    </xf>
    <xf numFmtId="173"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5" fontId="5" fillId="0" borderId="11" xfId="0" applyNumberFormat="1" applyFont="1" applyBorder="1" applyAlignment="1">
      <alignment horizontal="left"/>
    </xf>
    <xf numFmtId="174" fontId="9" fillId="0" borderId="45" xfId="42" applyNumberFormat="1" applyFont="1" applyBorder="1"/>
    <xf numFmtId="174" fontId="10" fillId="0" borderId="22" xfId="42" applyNumberFormat="1" applyFont="1" applyBorder="1" applyAlignment="1">
      <alignment vertical="top"/>
    </xf>
    <xf numFmtId="174" fontId="10" fillId="0" borderId="45" xfId="42" applyNumberFormat="1" applyFont="1" applyBorder="1" applyAlignment="1">
      <alignment vertical="top"/>
    </xf>
    <xf numFmtId="174" fontId="10" fillId="0" borderId="43" xfId="42" applyNumberFormat="1" applyFont="1" applyBorder="1"/>
    <xf numFmtId="172" fontId="10" fillId="25" borderId="22" xfId="0" applyNumberFormat="1" applyFont="1" applyFill="1" applyBorder="1"/>
    <xf numFmtId="174" fontId="10" fillId="25" borderId="22" xfId="42" applyNumberFormat="1" applyFont="1" applyFill="1" applyBorder="1"/>
    <xf numFmtId="173" fontId="10" fillId="0" borderId="47" xfId="0" applyNumberFormat="1" applyFont="1" applyFill="1" applyBorder="1"/>
    <xf numFmtId="173" fontId="10" fillId="0" borderId="61" xfId="0" applyNumberFormat="1" applyFont="1" applyFill="1" applyBorder="1"/>
    <xf numFmtId="9" fontId="10" fillId="0" borderId="31" xfId="42" applyFont="1" applyFill="1" applyBorder="1" applyAlignment="1">
      <alignment horizontal="center"/>
    </xf>
    <xf numFmtId="173" fontId="10" fillId="0" borderId="80" xfId="0" applyNumberFormat="1" applyFont="1" applyFill="1" applyBorder="1"/>
    <xf numFmtId="173" fontId="10" fillId="0" borderId="10" xfId="0" applyNumberFormat="1" applyFont="1" applyFill="1" applyBorder="1"/>
    <xf numFmtId="173" fontId="10" fillId="0" borderId="26" xfId="0" applyNumberFormat="1" applyFont="1" applyFill="1" applyBorder="1"/>
    <xf numFmtId="173" fontId="10" fillId="0" borderId="46" xfId="0" applyNumberFormat="1" applyFont="1" applyFill="1" applyBorder="1"/>
    <xf numFmtId="0" fontId="9" fillId="0" borderId="22" xfId="0" applyNumberFormat="1" applyFont="1" applyBorder="1" applyAlignment="1">
      <alignment horizontal="center"/>
    </xf>
    <xf numFmtId="173" fontId="10" fillId="0" borderId="31" xfId="0" applyNumberFormat="1" applyFont="1" applyFill="1" applyBorder="1" applyProtection="1"/>
    <xf numFmtId="173"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3" fontId="9" fillId="0" borderId="43" xfId="0" applyNumberFormat="1" applyFont="1" applyFill="1" applyBorder="1" applyProtection="1"/>
    <xf numFmtId="173" fontId="9" fillId="0" borderId="52" xfId="0" applyNumberFormat="1" applyFont="1" applyFill="1" applyBorder="1" applyProtection="1"/>
    <xf numFmtId="173" fontId="9" fillId="0" borderId="49" xfId="0" applyNumberFormat="1" applyFont="1" applyFill="1" applyBorder="1" applyProtection="1"/>
    <xf numFmtId="173" fontId="10" fillId="0" borderId="43" xfId="0" applyNumberFormat="1" applyFont="1" applyFill="1" applyBorder="1" applyProtection="1"/>
    <xf numFmtId="173" fontId="10" fillId="0" borderId="78" xfId="0" applyNumberFormat="1" applyFont="1" applyFill="1" applyBorder="1" applyProtection="1"/>
    <xf numFmtId="173" fontId="10" fillId="0" borderId="52" xfId="0" applyNumberFormat="1" applyFont="1" applyFill="1" applyBorder="1" applyProtection="1"/>
    <xf numFmtId="173" fontId="10" fillId="0" borderId="49" xfId="0" applyNumberFormat="1" applyFont="1" applyFill="1" applyBorder="1" applyProtection="1"/>
    <xf numFmtId="0" fontId="10" fillId="0" borderId="11" xfId="0" applyNumberFormat="1" applyFont="1" applyBorder="1" applyProtection="1"/>
    <xf numFmtId="173" fontId="10" fillId="0" borderId="43" xfId="0" applyNumberFormat="1" applyFont="1" applyFill="1" applyBorder="1"/>
    <xf numFmtId="173"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70" fontId="11" fillId="0" borderId="0" xfId="0" applyNumberFormat="1" applyFont="1" applyBorder="1" applyProtection="1">
      <protection locked="0"/>
    </xf>
    <xf numFmtId="0" fontId="11" fillId="0" borderId="0" xfId="0" applyFont="1" applyBorder="1" applyProtection="1"/>
    <xf numFmtId="170" fontId="11" fillId="0" borderId="0" xfId="0" applyNumberFormat="1" applyFont="1" applyBorder="1" applyProtection="1"/>
    <xf numFmtId="166" fontId="13" fillId="0" borderId="0" xfId="28" applyNumberFormat="1" applyFont="1" applyBorder="1" applyAlignment="1">
      <alignment horizontal="right"/>
    </xf>
    <xf numFmtId="166" fontId="13" fillId="0" borderId="0" xfId="28" applyNumberFormat="1" applyFont="1" applyFill="1" applyBorder="1" applyAlignment="1">
      <alignment horizontal="right"/>
    </xf>
    <xf numFmtId="173" fontId="9" fillId="0" borderId="0" xfId="0" applyNumberFormat="1" applyFont="1"/>
    <xf numFmtId="0" fontId="10" fillId="0" borderId="23" xfId="0" applyFont="1" applyFill="1" applyBorder="1" applyAlignment="1">
      <alignment horizontal="center"/>
    </xf>
    <xf numFmtId="173" fontId="9" fillId="0" borderId="31" xfId="0" applyNumberFormat="1" applyFont="1" applyFill="1" applyBorder="1"/>
    <xf numFmtId="9" fontId="9" fillId="0" borderId="31" xfId="42" applyFont="1" applyFill="1" applyBorder="1" applyAlignment="1">
      <alignment horizontal="center"/>
    </xf>
    <xf numFmtId="173" fontId="10" fillId="0" borderId="24" xfId="0" applyNumberFormat="1" applyFont="1" applyFill="1" applyBorder="1"/>
    <xf numFmtId="170" fontId="11" fillId="0" borderId="0" xfId="0" applyNumberFormat="1" applyFont="1" applyFill="1" applyBorder="1" applyProtection="1">
      <protection locked="0"/>
    </xf>
    <xf numFmtId="170" fontId="11" fillId="0" borderId="0" xfId="0" applyNumberFormat="1" applyFont="1" applyFill="1" applyBorder="1" applyProtection="1"/>
    <xf numFmtId="173" fontId="10" fillId="0" borderId="22" xfId="0" applyNumberFormat="1" applyFont="1" applyFill="1" applyBorder="1" applyProtection="1"/>
    <xf numFmtId="9" fontId="10" fillId="0" borderId="24" xfId="42" applyFont="1" applyFill="1" applyBorder="1" applyAlignment="1">
      <alignment horizontal="center"/>
    </xf>
    <xf numFmtId="173" fontId="10" fillId="0" borderId="50" xfId="0" applyNumberFormat="1" applyFont="1" applyFill="1" applyBorder="1"/>
    <xf numFmtId="173" fontId="10" fillId="0" borderId="58" xfId="0" applyNumberFormat="1" applyFont="1" applyFill="1" applyBorder="1"/>
    <xf numFmtId="173" fontId="10" fillId="0" borderId="46" xfId="0" applyNumberFormat="1" applyFont="1" applyFill="1" applyBorder="1" applyProtection="1"/>
    <xf numFmtId="173" fontId="9" fillId="0" borderId="46" xfId="0" applyNumberFormat="1" applyFont="1" applyFill="1" applyBorder="1" applyProtection="1"/>
    <xf numFmtId="173" fontId="9" fillId="0" borderId="46" xfId="29" applyNumberFormat="1" applyFont="1" applyFill="1" applyBorder="1" applyProtection="1"/>
    <xf numFmtId="173" fontId="10" fillId="0" borderId="55" xfId="0" applyNumberFormat="1" applyFont="1" applyFill="1" applyBorder="1"/>
    <xf numFmtId="173"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3" fontId="9" fillId="0" borderId="10" xfId="0" applyNumberFormat="1" applyFont="1" applyFill="1" applyBorder="1" applyProtection="1"/>
    <xf numFmtId="173" fontId="9" fillId="0" borderId="26" xfId="0" applyNumberFormat="1" applyFont="1" applyFill="1" applyBorder="1" applyProtection="1"/>
    <xf numFmtId="173" fontId="9" fillId="0" borderId="37" xfId="0" applyNumberFormat="1" applyFont="1" applyFill="1" applyBorder="1" applyProtection="1"/>
    <xf numFmtId="173" fontId="9" fillId="0" borderId="54" xfId="0" applyNumberFormat="1" applyFont="1" applyFill="1" applyBorder="1" applyProtection="1"/>
    <xf numFmtId="173" fontId="9" fillId="0" borderId="66" xfId="0" applyNumberFormat="1" applyFont="1" applyFill="1" applyBorder="1" applyProtection="1"/>
    <xf numFmtId="173" fontId="9" fillId="0" borderId="81" xfId="0" applyNumberFormat="1" applyFont="1" applyFill="1" applyBorder="1" applyProtection="1"/>
    <xf numFmtId="173" fontId="9" fillId="0" borderId="51" xfId="0" applyNumberFormat="1" applyFont="1" applyFill="1" applyBorder="1" applyProtection="1"/>
    <xf numFmtId="173" fontId="10" fillId="0" borderId="10" xfId="0" applyNumberFormat="1" applyFont="1" applyFill="1" applyBorder="1" applyAlignment="1" applyProtection="1">
      <alignment vertical="top"/>
    </xf>
    <xf numFmtId="173" fontId="10" fillId="0" borderId="26" xfId="0" applyNumberFormat="1" applyFont="1" applyFill="1" applyBorder="1" applyAlignment="1" applyProtection="1">
      <alignment vertical="top"/>
    </xf>
    <xf numFmtId="173" fontId="10" fillId="0" borderId="22" xfId="0" applyNumberFormat="1" applyFont="1" applyFill="1" applyBorder="1" applyAlignment="1" applyProtection="1">
      <alignment vertical="top"/>
    </xf>
    <xf numFmtId="173" fontId="10" fillId="0" borderId="37" xfId="0" applyNumberFormat="1" applyFont="1" applyFill="1" applyBorder="1" applyAlignment="1" applyProtection="1">
      <alignment vertical="top"/>
    </xf>
    <xf numFmtId="173" fontId="10" fillId="0" borderId="46" xfId="0" applyNumberFormat="1" applyFont="1" applyFill="1" applyBorder="1" applyAlignment="1" applyProtection="1">
      <alignment vertical="top"/>
    </xf>
    <xf numFmtId="173" fontId="10" fillId="0" borderId="54" xfId="0" applyNumberFormat="1" applyFont="1" applyFill="1" applyBorder="1" applyProtection="1"/>
    <xf numFmtId="173" fontId="10" fillId="0" borderId="66" xfId="0" applyNumberFormat="1" applyFont="1" applyFill="1" applyBorder="1" applyProtection="1"/>
    <xf numFmtId="173" fontId="10" fillId="0" borderId="36" xfId="0" applyNumberFormat="1" applyFont="1" applyFill="1" applyBorder="1" applyProtection="1"/>
    <xf numFmtId="173" fontId="10" fillId="0" borderId="81" xfId="0" applyNumberFormat="1" applyFont="1" applyFill="1" applyBorder="1" applyProtection="1"/>
    <xf numFmtId="173" fontId="10" fillId="0" borderId="51" xfId="0" applyNumberFormat="1" applyFont="1" applyFill="1" applyBorder="1" applyProtection="1"/>
    <xf numFmtId="173" fontId="10" fillId="0" borderId="10" xfId="0" applyNumberFormat="1" applyFont="1" applyFill="1" applyBorder="1" applyProtection="1"/>
    <xf numFmtId="173" fontId="10" fillId="0" borderId="26" xfId="0" applyNumberFormat="1" applyFont="1" applyFill="1" applyBorder="1" applyProtection="1"/>
    <xf numFmtId="173" fontId="10" fillId="0" borderId="37" xfId="0" applyNumberFormat="1" applyFont="1" applyFill="1" applyBorder="1" applyProtection="1"/>
    <xf numFmtId="173" fontId="10" fillId="0" borderId="67" xfId="0" applyNumberFormat="1" applyFont="1" applyFill="1" applyBorder="1" applyProtection="1"/>
    <xf numFmtId="173" fontId="10" fillId="0" borderId="45" xfId="0" applyNumberFormat="1" applyFont="1" applyFill="1" applyBorder="1" applyProtection="1"/>
    <xf numFmtId="173" fontId="9" fillId="0" borderId="45" xfId="0" applyNumberFormat="1" applyFont="1" applyFill="1" applyBorder="1" applyProtection="1"/>
    <xf numFmtId="173" fontId="9" fillId="0" borderId="45" xfId="28" applyNumberFormat="1" applyFont="1" applyFill="1" applyBorder="1" applyProtection="1"/>
    <xf numFmtId="173" fontId="9" fillId="0" borderId="22" xfId="28" applyNumberFormat="1" applyFont="1" applyFill="1" applyBorder="1" applyProtection="1"/>
    <xf numFmtId="173" fontId="9" fillId="0" borderId="46" xfId="28" applyNumberFormat="1" applyFont="1" applyFill="1" applyBorder="1" applyProtection="1"/>
    <xf numFmtId="9" fontId="9" fillId="0" borderId="46" xfId="42" applyFont="1" applyFill="1" applyBorder="1" applyAlignment="1" applyProtection="1">
      <alignment horizontal="center"/>
    </xf>
    <xf numFmtId="173" fontId="9" fillId="0" borderId="46" xfId="0" applyNumberFormat="1" applyFont="1" applyFill="1" applyBorder="1" applyAlignment="1" applyProtection="1">
      <alignment horizontal="center"/>
    </xf>
    <xf numFmtId="173" fontId="9" fillId="0" borderId="51" xfId="0" applyNumberFormat="1" applyFont="1" applyFill="1" applyBorder="1" applyAlignment="1" applyProtection="1">
      <alignment horizontal="center"/>
    </xf>
    <xf numFmtId="173" fontId="9" fillId="0" borderId="67" xfId="0" applyNumberFormat="1" applyFont="1" applyFill="1" applyBorder="1" applyProtection="1"/>
    <xf numFmtId="0" fontId="9" fillId="0" borderId="0" xfId="0" applyFont="1" applyFill="1" applyAlignment="1" applyProtection="1">
      <alignment horizontal="center"/>
    </xf>
    <xf numFmtId="166"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6"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7"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8" fontId="9" fillId="0" borderId="0" xfId="0" applyNumberFormat="1" applyFont="1" applyFill="1"/>
    <xf numFmtId="0" fontId="13" fillId="0" borderId="0" xfId="0" applyFont="1" applyFill="1" applyBorder="1" applyAlignment="1" applyProtection="1">
      <alignment horizontal="right"/>
    </xf>
    <xf numFmtId="169"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3" fontId="9" fillId="0" borderId="37" xfId="0" applyNumberFormat="1" applyFont="1" applyBorder="1" applyProtection="1"/>
    <xf numFmtId="173" fontId="9" fillId="0" borderId="26" xfId="0" applyNumberFormat="1" applyFont="1" applyBorder="1" applyProtection="1"/>
    <xf numFmtId="173" fontId="9" fillId="0" borderId="22" xfId="0" applyNumberFormat="1" applyFont="1" applyBorder="1" applyProtection="1"/>
    <xf numFmtId="173" fontId="9" fillId="0" borderId="0" xfId="0" applyNumberFormat="1" applyFont="1" applyBorder="1" applyProtection="1"/>
    <xf numFmtId="173" fontId="9" fillId="0" borderId="13" xfId="0" applyNumberFormat="1" applyFont="1" applyBorder="1" applyProtection="1"/>
    <xf numFmtId="173"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9" fontId="10" fillId="0" borderId="22" xfId="0" applyNumberFormat="1" applyFont="1" applyBorder="1" applyAlignment="1">
      <alignment horizontal="center"/>
    </xf>
    <xf numFmtId="169" fontId="9" fillId="0" borderId="22" xfId="42" applyNumberFormat="1" applyFont="1" applyBorder="1" applyAlignment="1">
      <alignment horizontal="center"/>
    </xf>
    <xf numFmtId="169" fontId="10" fillId="0" borderId="31" xfId="0" applyNumberFormat="1" applyFont="1" applyBorder="1"/>
    <xf numFmtId="169" fontId="9" fillId="0" borderId="22" xfId="0" applyNumberFormat="1" applyFont="1" applyBorder="1"/>
    <xf numFmtId="169" fontId="10" fillId="0" borderId="43" xfId="42" applyNumberFormat="1" applyFont="1" applyBorder="1" applyAlignment="1">
      <alignment horizontal="center"/>
    </xf>
    <xf numFmtId="169" fontId="10" fillId="0" borderId="29" xfId="42" applyNumberFormat="1" applyFont="1" applyBorder="1" applyAlignment="1">
      <alignment horizontal="center"/>
    </xf>
    <xf numFmtId="173"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3" fontId="9" fillId="32" borderId="22" xfId="0" applyNumberFormat="1" applyFont="1" applyFill="1" applyBorder="1" applyProtection="1">
      <protection locked="0"/>
    </xf>
    <xf numFmtId="173" fontId="9" fillId="32" borderId="43" xfId="0" applyNumberFormat="1" applyFont="1" applyFill="1" applyBorder="1" applyProtection="1">
      <protection locked="0"/>
    </xf>
    <xf numFmtId="173" fontId="9" fillId="32" borderId="46" xfId="0" applyNumberFormat="1" applyFont="1" applyFill="1" applyBorder="1" applyProtection="1">
      <protection locked="0"/>
    </xf>
    <xf numFmtId="173" fontId="9" fillId="32" borderId="49" xfId="0" applyNumberFormat="1" applyFont="1" applyFill="1" applyBorder="1" applyProtection="1">
      <protection locked="0"/>
    </xf>
    <xf numFmtId="173" fontId="10" fillId="32" borderId="43" xfId="0" applyNumberFormat="1" applyFont="1" applyFill="1" applyBorder="1" applyProtection="1">
      <protection locked="0"/>
    </xf>
    <xf numFmtId="173" fontId="10" fillId="32" borderId="49" xfId="0" applyNumberFormat="1" applyFont="1" applyFill="1" applyBorder="1" applyProtection="1">
      <protection locked="0"/>
    </xf>
    <xf numFmtId="173" fontId="9" fillId="32" borderId="37" xfId="0" applyNumberFormat="1" applyFont="1" applyFill="1" applyBorder="1" applyAlignment="1" applyProtection="1">
      <alignment horizontal="right"/>
      <protection locked="0"/>
    </xf>
    <xf numFmtId="173" fontId="9" fillId="32" borderId="26" xfId="0" applyNumberFormat="1" applyFont="1" applyFill="1" applyBorder="1" applyAlignment="1" applyProtection="1">
      <alignment horizontal="right"/>
      <protection locked="0"/>
    </xf>
    <xf numFmtId="173" fontId="9" fillId="32" borderId="22" xfId="0" applyNumberFormat="1" applyFont="1" applyFill="1" applyBorder="1" applyAlignment="1" applyProtection="1">
      <alignment horizontal="right"/>
      <protection locked="0"/>
    </xf>
    <xf numFmtId="173" fontId="9" fillId="32" borderId="0" xfId="0" applyNumberFormat="1" applyFont="1" applyFill="1" applyBorder="1" applyAlignment="1" applyProtection="1">
      <alignment horizontal="right"/>
      <protection locked="0"/>
    </xf>
    <xf numFmtId="173" fontId="9" fillId="32" borderId="13" xfId="0" applyNumberFormat="1" applyFont="1" applyFill="1" applyBorder="1" applyAlignment="1" applyProtection="1">
      <alignment horizontal="right"/>
      <protection locked="0"/>
    </xf>
    <xf numFmtId="173" fontId="9" fillId="32" borderId="37" xfId="0" applyNumberFormat="1" applyFont="1" applyFill="1" applyBorder="1" applyProtection="1">
      <protection locked="0"/>
    </xf>
    <xf numFmtId="173" fontId="9" fillId="32" borderId="26" xfId="0" applyNumberFormat="1" applyFont="1" applyFill="1" applyBorder="1" applyProtection="1">
      <protection locked="0"/>
    </xf>
    <xf numFmtId="173" fontId="9" fillId="32" borderId="0" xfId="0" applyNumberFormat="1" applyFont="1" applyFill="1" applyBorder="1" applyProtection="1">
      <protection locked="0"/>
    </xf>
    <xf numFmtId="173" fontId="9" fillId="32" borderId="13" xfId="0" applyNumberFormat="1" applyFont="1" applyFill="1" applyBorder="1" applyProtection="1">
      <protection locked="0"/>
    </xf>
    <xf numFmtId="173" fontId="9" fillId="32" borderId="10" xfId="0" applyNumberFormat="1" applyFont="1" applyFill="1" applyBorder="1" applyProtection="1">
      <protection locked="0"/>
    </xf>
    <xf numFmtId="173" fontId="9" fillId="32" borderId="54" xfId="0" applyNumberFormat="1" applyFont="1" applyFill="1" applyBorder="1" applyProtection="1">
      <protection locked="0"/>
    </xf>
    <xf numFmtId="173" fontId="9" fillId="32" borderId="66" xfId="0" applyNumberFormat="1" applyFont="1" applyFill="1" applyBorder="1" applyProtection="1">
      <protection locked="0"/>
    </xf>
    <xf numFmtId="173" fontId="9" fillId="32" borderId="36" xfId="0" applyNumberFormat="1" applyFont="1" applyFill="1" applyBorder="1" applyProtection="1">
      <protection locked="0"/>
    </xf>
    <xf numFmtId="173" fontId="9" fillId="32" borderId="51" xfId="0" applyNumberFormat="1" applyFont="1" applyFill="1" applyBorder="1" applyProtection="1">
      <protection locked="0"/>
    </xf>
    <xf numFmtId="173" fontId="9" fillId="32" borderId="45" xfId="0" applyNumberFormat="1" applyFont="1" applyFill="1" applyBorder="1" applyProtection="1">
      <protection locked="0"/>
    </xf>
    <xf numFmtId="173" fontId="9" fillId="32" borderId="46" xfId="28" applyNumberFormat="1" applyFont="1" applyFill="1" applyBorder="1" applyProtection="1">
      <protection locked="0"/>
    </xf>
    <xf numFmtId="173" fontId="9" fillId="32" borderId="45" xfId="28" applyNumberFormat="1" applyFont="1" applyFill="1" applyBorder="1" applyProtection="1">
      <protection locked="0"/>
    </xf>
    <xf numFmtId="173" fontId="9" fillId="32" borderId="22" xfId="28" applyNumberFormat="1" applyFont="1" applyFill="1" applyBorder="1" applyProtection="1">
      <protection locked="0"/>
    </xf>
    <xf numFmtId="173"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3" fontId="9" fillId="32" borderId="19" xfId="0" applyNumberFormat="1" applyFont="1" applyFill="1" applyBorder="1" applyProtection="1">
      <protection locked="0"/>
    </xf>
    <xf numFmtId="169" fontId="9" fillId="32" borderId="10" xfId="42" applyNumberFormat="1" applyFont="1" applyFill="1" applyBorder="1" applyAlignment="1" applyProtection="1">
      <alignment horizontal="center" vertical="top" wrapText="1"/>
      <protection locked="0"/>
    </xf>
    <xf numFmtId="169" fontId="9" fillId="32" borderId="45" xfId="42" applyNumberFormat="1" applyFont="1" applyFill="1" applyBorder="1" applyAlignment="1" applyProtection="1">
      <alignment horizontal="center" vertical="top" wrapText="1"/>
      <protection locked="0"/>
    </xf>
    <xf numFmtId="169" fontId="9" fillId="32" borderId="22" xfId="42" applyNumberFormat="1" applyFont="1" applyFill="1" applyBorder="1" applyAlignment="1" applyProtection="1">
      <alignment horizontal="center" vertical="top" wrapText="1"/>
      <protection locked="0"/>
    </xf>
    <xf numFmtId="169" fontId="9" fillId="32" borderId="46" xfId="42" applyNumberFormat="1" applyFont="1" applyFill="1" applyBorder="1" applyAlignment="1" applyProtection="1">
      <alignment horizontal="center" vertical="top" wrapText="1"/>
      <protection locked="0"/>
    </xf>
    <xf numFmtId="169" fontId="9" fillId="32" borderId="58" xfId="42" applyNumberFormat="1" applyFont="1" applyFill="1" applyBorder="1" applyAlignment="1" applyProtection="1">
      <alignment horizontal="center" vertical="top" wrapText="1"/>
      <protection locked="0"/>
    </xf>
    <xf numFmtId="169" fontId="9" fillId="32" borderId="24" xfId="42" applyNumberFormat="1" applyFont="1" applyFill="1" applyBorder="1" applyAlignment="1" applyProtection="1">
      <alignment horizontal="center" vertical="top" wrapText="1"/>
      <protection locked="0"/>
    </xf>
    <xf numFmtId="170" fontId="9" fillId="32" borderId="0" xfId="0" applyNumberFormat="1" applyFont="1" applyFill="1" applyBorder="1" applyProtection="1">
      <protection locked="0"/>
    </xf>
    <xf numFmtId="170" fontId="9" fillId="32" borderId="13" xfId="0" applyNumberFormat="1" applyFont="1" applyFill="1" applyBorder="1" applyProtection="1">
      <protection locked="0"/>
    </xf>
    <xf numFmtId="170" fontId="9" fillId="32" borderId="0" xfId="28" applyNumberFormat="1" applyFont="1" applyFill="1" applyBorder="1" applyProtection="1">
      <protection locked="0"/>
    </xf>
    <xf numFmtId="170" fontId="9" fillId="32" borderId="13" xfId="28" applyNumberFormat="1" applyFont="1" applyFill="1" applyBorder="1" applyProtection="1">
      <protection locked="0"/>
    </xf>
    <xf numFmtId="170" fontId="9" fillId="32" borderId="14" xfId="28" applyNumberFormat="1" applyFont="1" applyFill="1" applyBorder="1" applyProtection="1">
      <protection locked="0"/>
    </xf>
    <xf numFmtId="170" fontId="9" fillId="32" borderId="14" xfId="0" applyNumberFormat="1" applyFont="1" applyFill="1" applyBorder="1" applyProtection="1">
      <protection locked="0"/>
    </xf>
    <xf numFmtId="170"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3" fontId="9" fillId="32" borderId="67" xfId="0" applyNumberFormat="1" applyFont="1" applyFill="1" applyBorder="1" applyProtection="1">
      <protection locked="0"/>
    </xf>
    <xf numFmtId="173"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3" fontId="10" fillId="32" borderId="67" xfId="0" applyNumberFormat="1" applyFont="1" applyFill="1" applyBorder="1" applyProtection="1">
      <protection locked="0"/>
    </xf>
    <xf numFmtId="173"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3" fontId="10" fillId="32" borderId="10" xfId="0" applyNumberFormat="1" applyFont="1" applyFill="1" applyBorder="1" applyProtection="1">
      <protection locked="0"/>
    </xf>
    <xf numFmtId="173" fontId="10" fillId="32" borderId="26" xfId="0" applyNumberFormat="1" applyFont="1" applyFill="1" applyBorder="1" applyProtection="1">
      <protection locked="0"/>
    </xf>
    <xf numFmtId="173" fontId="10" fillId="32" borderId="22" xfId="0" applyNumberFormat="1" applyFont="1" applyFill="1" applyBorder="1" applyProtection="1">
      <protection locked="0"/>
    </xf>
    <xf numFmtId="173"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2" fontId="9" fillId="32" borderId="83" xfId="0" applyNumberFormat="1" applyFont="1" applyFill="1" applyBorder="1" applyProtection="1">
      <protection locked="0"/>
    </xf>
    <xf numFmtId="12" fontId="9" fillId="32" borderId="84" xfId="0" applyNumberFormat="1" applyFont="1" applyFill="1" applyBorder="1" applyProtection="1">
      <protection locked="0"/>
    </xf>
    <xf numFmtId="173" fontId="9" fillId="0" borderId="72" xfId="0" applyNumberFormat="1" applyFont="1" applyBorder="1"/>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3"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5" xfId="0" applyFont="1" applyBorder="1" applyAlignment="1" applyProtection="1">
      <alignment horizontal="left" vertical="top" wrapText="1"/>
    </xf>
    <xf numFmtId="0" fontId="8" fillId="32" borderId="86"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8" fillId="32" borderId="13" xfId="0" applyFont="1" applyFill="1" applyBorder="1" applyAlignment="1" applyProtection="1">
      <alignment horizontal="justify" vertical="top" wrapText="1"/>
      <protection locked="0"/>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5" xfId="0" applyFont="1" applyBorder="1" applyAlignment="1" applyProtection="1">
      <alignment horizontal="justify" wrapText="1"/>
    </xf>
    <xf numFmtId="0" fontId="19" fillId="0" borderId="86"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176" fontId="19" fillId="32" borderId="65" xfId="0" applyNumberFormat="1" applyFont="1" applyFill="1" applyBorder="1" applyAlignment="1" applyProtection="1">
      <alignment horizontal="justify" wrapText="1"/>
      <protection locked="0"/>
    </xf>
    <xf numFmtId="0" fontId="19" fillId="0" borderId="16" xfId="0" applyFont="1" applyFill="1" applyBorder="1" applyAlignment="1" applyProtection="1">
      <alignment horizontal="justify" wrapText="1"/>
    </xf>
    <xf numFmtId="176"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3"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9" fontId="10" fillId="0" borderId="46" xfId="42" applyNumberFormat="1" applyFont="1" applyFill="1" applyBorder="1" applyAlignment="1">
      <alignment horizontal="center" wrapText="1"/>
    </xf>
    <xf numFmtId="169" fontId="9" fillId="0" borderId="49" xfId="42" applyNumberFormat="1" applyFont="1" applyFill="1" applyBorder="1" applyAlignment="1">
      <alignment horizontal="center" vertical="top" wrapText="1"/>
    </xf>
    <xf numFmtId="169" fontId="10" fillId="0" borderId="49" xfId="42" applyNumberFormat="1" applyFont="1" applyFill="1" applyBorder="1" applyAlignment="1">
      <alignment horizontal="center" vertical="top" wrapText="1"/>
    </xf>
    <xf numFmtId="169" fontId="10" fillId="0" borderId="47" xfId="42" applyNumberFormat="1" applyFont="1" applyFill="1" applyBorder="1" applyAlignment="1">
      <alignment horizontal="center" vertical="top" wrapText="1"/>
    </xf>
    <xf numFmtId="169"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3" fontId="9" fillId="0" borderId="11" xfId="0" applyNumberFormat="1" applyFont="1" applyBorder="1"/>
    <xf numFmtId="173" fontId="10" fillId="0" borderId="11" xfId="0" applyNumberFormat="1" applyFont="1" applyBorder="1"/>
    <xf numFmtId="173" fontId="10" fillId="0" borderId="28" xfId="0" applyNumberFormat="1" applyFont="1" applyFill="1" applyBorder="1"/>
    <xf numFmtId="0" fontId="0" fillId="0" borderId="0" xfId="0"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3" fontId="10" fillId="0" borderId="54" xfId="0" applyNumberFormat="1" applyFont="1" applyFill="1" applyBorder="1"/>
    <xf numFmtId="173" fontId="10" fillId="0" borderId="62" xfId="0" applyNumberFormat="1" applyFont="1" applyFill="1" applyBorder="1"/>
    <xf numFmtId="173" fontId="10" fillId="0" borderId="36" xfId="0" applyNumberFormat="1" applyFont="1" applyFill="1" applyBorder="1"/>
    <xf numFmtId="173" fontId="10" fillId="0" borderId="51" xfId="0" applyNumberFormat="1" applyFont="1" applyFill="1" applyBorder="1"/>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2" xfId="42" applyFont="1" applyFill="1" applyBorder="1" applyAlignment="1" applyProtection="1">
      <alignment horizontal="center"/>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32" borderId="22" xfId="0" applyNumberFormat="1" applyFont="1" applyFill="1" applyBorder="1" applyAlignment="1" applyProtection="1">
      <alignment horizontal="center"/>
      <protection locked="0"/>
    </xf>
    <xf numFmtId="0" fontId="9" fillId="32" borderId="37" xfId="0" applyNumberFormat="1" applyFont="1" applyFill="1" applyBorder="1" applyAlignment="1" applyProtection="1">
      <alignment horizontal="center"/>
      <protection locked="0"/>
    </xf>
    <xf numFmtId="177" fontId="9" fillId="32" borderId="46" xfId="0" applyNumberFormat="1" applyFont="1" applyFill="1" applyBorder="1" applyAlignment="1" applyProtection="1">
      <alignment horizontal="center"/>
      <protection locked="0"/>
    </xf>
    <xf numFmtId="173" fontId="9" fillId="32" borderId="26" xfId="0" applyNumberFormat="1" applyFont="1" applyFill="1" applyBorder="1" applyAlignment="1" applyProtection="1">
      <protection locked="0"/>
    </xf>
    <xf numFmtId="173" fontId="9" fillId="32" borderId="45" xfId="0" applyNumberFormat="1" applyFont="1" applyFill="1" applyBorder="1" applyAlignment="1" applyProtection="1">
      <protection locked="0"/>
    </xf>
    <xf numFmtId="173" fontId="9" fillId="32" borderId="22" xfId="0" applyNumberFormat="1" applyFont="1" applyFill="1" applyBorder="1" applyAlignment="1" applyProtection="1">
      <protection locked="0"/>
    </xf>
    <xf numFmtId="173" fontId="10" fillId="0" borderId="46" xfId="0" applyNumberFormat="1" applyFont="1" applyBorder="1" applyAlignment="1" applyProtection="1"/>
    <xf numFmtId="0" fontId="9" fillId="0" borderId="78" xfId="0" applyNumberFormat="1" applyFont="1" applyBorder="1" applyAlignment="1">
      <alignment horizontal="center"/>
    </xf>
    <xf numFmtId="177" fontId="9" fillId="0" borderId="49" xfId="0" applyNumberFormat="1" applyFont="1" applyBorder="1" applyAlignment="1">
      <alignment horizontal="center"/>
    </xf>
    <xf numFmtId="173" fontId="10" fillId="0" borderId="52" xfId="0" applyNumberFormat="1" applyFont="1" applyBorder="1" applyAlignment="1"/>
    <xf numFmtId="173" fontId="10" fillId="0" borderId="60" xfId="0" applyNumberFormat="1" applyFont="1" applyBorder="1" applyAlignment="1"/>
    <xf numFmtId="173" fontId="10" fillId="0" borderId="43" xfId="0" applyNumberFormat="1" applyFont="1" applyBorder="1" applyAlignment="1"/>
    <xf numFmtId="173" fontId="10" fillId="0" borderId="49" xfId="0" applyNumberFormat="1" applyFont="1" applyBorder="1" applyAlignment="1"/>
    <xf numFmtId="0" fontId="9" fillId="0" borderId="37" xfId="0" applyNumberFormat="1" applyFont="1" applyBorder="1" applyAlignment="1">
      <alignment horizontal="center"/>
    </xf>
    <xf numFmtId="177" fontId="9" fillId="0" borderId="46" xfId="0" applyNumberFormat="1" applyFont="1" applyBorder="1" applyAlignment="1">
      <alignment horizontal="center"/>
    </xf>
    <xf numFmtId="173" fontId="9" fillId="0" borderId="26" xfId="0" applyNumberFormat="1" applyFont="1" applyBorder="1" applyAlignment="1"/>
    <xf numFmtId="173" fontId="9" fillId="0" borderId="45" xfId="0" applyNumberFormat="1" applyFont="1" applyBorder="1" applyAlignment="1"/>
    <xf numFmtId="173" fontId="9" fillId="0" borderId="22" xfId="0" applyNumberFormat="1" applyFont="1" applyBorder="1" applyAlignment="1"/>
    <xf numFmtId="173" fontId="9" fillId="0" borderId="46" xfId="0" applyNumberFormat="1" applyFont="1" applyBorder="1" applyAlignment="1"/>
    <xf numFmtId="0" fontId="9" fillId="0" borderId="52" xfId="0" applyNumberFormat="1" applyFont="1" applyBorder="1" applyAlignment="1">
      <alignment horizontal="center"/>
    </xf>
    <xf numFmtId="173" fontId="10" fillId="0" borderId="26" xfId="0" applyNumberFormat="1" applyFont="1" applyBorder="1" applyAlignment="1"/>
    <xf numFmtId="173" fontId="10" fillId="0" borderId="45" xfId="0" applyNumberFormat="1" applyFont="1" applyBorder="1" applyAlignment="1"/>
    <xf numFmtId="173" fontId="10" fillId="0" borderId="22" xfId="0" applyNumberFormat="1" applyFont="1" applyBorder="1" applyAlignment="1"/>
    <xf numFmtId="173" fontId="10" fillId="0" borderId="46" xfId="0" applyNumberFormat="1" applyFont="1" applyBorder="1" applyAlignment="1"/>
    <xf numFmtId="0" fontId="9" fillId="0" borderId="24" xfId="0" applyNumberFormat="1" applyFont="1" applyBorder="1" applyAlignment="1">
      <alignment horizontal="center"/>
    </xf>
    <xf numFmtId="0" fontId="9" fillId="0" borderId="69" xfId="0" applyNumberFormat="1" applyFont="1" applyBorder="1" applyAlignment="1">
      <alignment horizontal="center"/>
    </xf>
    <xf numFmtId="177" fontId="9" fillId="0" borderId="50" xfId="0" applyNumberFormat="1" applyFont="1" applyBorder="1" applyAlignment="1">
      <alignment horizontal="center"/>
    </xf>
    <xf numFmtId="173" fontId="10" fillId="0" borderId="30" xfId="0" applyNumberFormat="1" applyFont="1" applyBorder="1" applyAlignment="1"/>
    <xf numFmtId="173" fontId="10" fillId="0" borderId="64" xfId="0" applyNumberFormat="1" applyFont="1" applyBorder="1" applyAlignment="1"/>
    <xf numFmtId="173" fontId="10" fillId="0" borderId="29" xfId="0" applyNumberFormat="1" applyFont="1" applyBorder="1" applyAlignment="1"/>
    <xf numFmtId="173" fontId="10" fillId="0" borderId="56" xfId="0" applyNumberFormat="1" applyFont="1" applyBorder="1" applyAlignment="1"/>
    <xf numFmtId="169" fontId="9" fillId="32" borderId="10" xfId="42" applyNumberFormat="1" applyFont="1" applyFill="1" applyBorder="1" applyAlignment="1" applyProtection="1">
      <alignment horizontal="center" vertical="top" wrapText="1"/>
      <protection locked="0"/>
    </xf>
    <xf numFmtId="169" fontId="9" fillId="32" borderId="19" xfId="42" applyNumberFormat="1" applyFont="1" applyFill="1" applyBorder="1" applyAlignment="1" applyProtection="1">
      <alignment horizontal="center" vertical="top" wrapText="1"/>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91" xfId="0" applyFont="1" applyBorder="1" applyAlignment="1" applyProtection="1">
      <alignment horizontal="justify" vertical="center" wrapText="1"/>
    </xf>
    <xf numFmtId="0" fontId="46" fillId="0" borderId="91" xfId="0" applyFont="1" applyBorder="1" applyAlignment="1">
      <alignment horizontal="justify" vertical="center" wrapText="1"/>
    </xf>
    <xf numFmtId="0" fontId="45" fillId="0" borderId="89" xfId="0" applyFont="1" applyBorder="1" applyAlignment="1" applyProtection="1">
      <alignment horizontal="justify" vertical="center"/>
    </xf>
    <xf numFmtId="0" fontId="19" fillId="0" borderId="90" xfId="0" applyFont="1" applyBorder="1" applyAlignment="1">
      <alignment horizontal="justify" vertical="center"/>
    </xf>
    <xf numFmtId="0" fontId="8" fillId="0" borderId="89" xfId="0" applyFont="1" applyBorder="1" applyAlignment="1" applyProtection="1">
      <alignment horizontal="justify" vertical="center" wrapText="1"/>
    </xf>
    <xf numFmtId="0" fontId="19" fillId="0" borderId="90" xfId="0" applyFont="1" applyBorder="1" applyAlignment="1">
      <alignment horizontal="justify" vertical="center" wrapText="1"/>
    </xf>
    <xf numFmtId="0" fontId="8" fillId="0" borderId="87" xfId="0" applyFont="1" applyBorder="1" applyAlignment="1" applyProtection="1">
      <alignment horizontal="justify" wrapText="1"/>
    </xf>
    <xf numFmtId="0" fontId="8" fillId="0" borderId="88"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0" fontId="19" fillId="0" borderId="88" xfId="0" applyFont="1" applyBorder="1" applyAlignment="1">
      <alignment horizontal="justify" wrapText="1"/>
    </xf>
    <xf numFmtId="0" fontId="19" fillId="0" borderId="18" xfId="0" applyFont="1" applyBorder="1" applyAlignment="1">
      <alignment horizontal="justify" wrapText="1"/>
    </xf>
    <xf numFmtId="0" fontId="45" fillId="0" borderId="89" xfId="0" applyFont="1" applyBorder="1" applyAlignment="1" applyProtection="1">
      <alignment horizontal="justify" vertical="center" wrapText="1"/>
    </xf>
    <xf numFmtId="0" fontId="45" fillId="0" borderId="90" xfId="0" applyFont="1" applyBorder="1" applyAlignment="1" applyProtection="1">
      <alignment horizontal="justify" vertical="center" wrapText="1"/>
    </xf>
    <xf numFmtId="0" fontId="8" fillId="0" borderId="90" xfId="0" applyFont="1" applyBorder="1" applyAlignment="1" applyProtection="1">
      <alignment horizontal="justify" vertical="center"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2"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74"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156">
    <cellStyle name="20% - Accent1" xfId="1" builtinId="30" customBuiltin="1"/>
    <cellStyle name="20% - Accent1 2" xfId="48"/>
    <cellStyle name="20% - Accent1 3" xfId="131"/>
    <cellStyle name="20% - Accent2" xfId="2" builtinId="34" customBuiltin="1"/>
    <cellStyle name="20% - Accent2 2" xfId="49"/>
    <cellStyle name="20% - Accent2 3" xfId="135"/>
    <cellStyle name="20% - Accent3" xfId="3" builtinId="38" customBuiltin="1"/>
    <cellStyle name="20% - Accent3 2" xfId="50"/>
    <cellStyle name="20% - Accent3 3" xfId="139"/>
    <cellStyle name="20% - Accent4" xfId="4" builtinId="42" customBuiltin="1"/>
    <cellStyle name="20% - Accent4 2" xfId="51"/>
    <cellStyle name="20% - Accent4 3" xfId="143"/>
    <cellStyle name="20% - Accent5" xfId="5" builtinId="46" customBuiltin="1"/>
    <cellStyle name="20% - Accent5 2" xfId="52"/>
    <cellStyle name="20% - Accent5 3" xfId="147"/>
    <cellStyle name="20% - Accent6" xfId="6" builtinId="50" customBuiltin="1"/>
    <cellStyle name="20% - Accent6 2" xfId="53"/>
    <cellStyle name="20% - Accent6 3" xfId="151"/>
    <cellStyle name="40% - Accent1" xfId="7" builtinId="31" customBuiltin="1"/>
    <cellStyle name="40% - Accent1 2" xfId="54"/>
    <cellStyle name="40% - Accent1 3" xfId="132"/>
    <cellStyle name="40% - Accent2" xfId="8" builtinId="35" customBuiltin="1"/>
    <cellStyle name="40% - Accent2 2" xfId="55"/>
    <cellStyle name="40% - Accent2 3" xfId="136"/>
    <cellStyle name="40% - Accent3" xfId="9" builtinId="39" customBuiltin="1"/>
    <cellStyle name="40% - Accent3 2" xfId="56"/>
    <cellStyle name="40% - Accent3 3" xfId="140"/>
    <cellStyle name="40% - Accent4" xfId="10" builtinId="43" customBuiltin="1"/>
    <cellStyle name="40% - Accent4 2" xfId="57"/>
    <cellStyle name="40% - Accent4 3" xfId="144"/>
    <cellStyle name="40% - Accent5" xfId="11" builtinId="47" customBuiltin="1"/>
    <cellStyle name="40% - Accent5 2" xfId="58"/>
    <cellStyle name="40% - Accent5 3" xfId="148"/>
    <cellStyle name="40% - Accent6" xfId="12" builtinId="51" customBuiltin="1"/>
    <cellStyle name="40% - Accent6 2" xfId="59"/>
    <cellStyle name="40% - Accent6 3" xfId="152"/>
    <cellStyle name="60% - Accent1" xfId="13" builtinId="32" customBuiltin="1"/>
    <cellStyle name="60% - Accent1 2" xfId="60"/>
    <cellStyle name="60% - Accent1 3" xfId="133"/>
    <cellStyle name="60% - Accent2" xfId="14" builtinId="36" customBuiltin="1"/>
    <cellStyle name="60% - Accent2 2" xfId="61"/>
    <cellStyle name="60% - Accent2 3" xfId="137"/>
    <cellStyle name="60% - Accent3" xfId="15" builtinId="40" customBuiltin="1"/>
    <cellStyle name="60% - Accent3 2" xfId="62"/>
    <cellStyle name="60% - Accent3 3" xfId="141"/>
    <cellStyle name="60% - Accent4" xfId="16" builtinId="44" customBuiltin="1"/>
    <cellStyle name="60% - Accent4 2" xfId="63"/>
    <cellStyle name="60% - Accent4 3" xfId="145"/>
    <cellStyle name="60% - Accent5" xfId="17" builtinId="48" customBuiltin="1"/>
    <cellStyle name="60% - Accent5 2" xfId="64"/>
    <cellStyle name="60% - Accent5 3" xfId="149"/>
    <cellStyle name="60% - Accent6" xfId="18" builtinId="52" customBuiltin="1"/>
    <cellStyle name="60% - Accent6 2" xfId="65"/>
    <cellStyle name="60% - Accent6 3" xfId="153"/>
    <cellStyle name="Accent1" xfId="19" builtinId="29" customBuiltin="1"/>
    <cellStyle name="Accent1 2" xfId="66"/>
    <cellStyle name="Accent1 3" xfId="130"/>
    <cellStyle name="Accent2" xfId="20" builtinId="33" customBuiltin="1"/>
    <cellStyle name="Accent2 2" xfId="67"/>
    <cellStyle name="Accent2 3" xfId="134"/>
    <cellStyle name="Accent3" xfId="21" builtinId="37" customBuiltin="1"/>
    <cellStyle name="Accent3 2" xfId="68"/>
    <cellStyle name="Accent3 3" xfId="138"/>
    <cellStyle name="Accent4" xfId="22" builtinId="41" customBuiltin="1"/>
    <cellStyle name="Accent4 2" xfId="69"/>
    <cellStyle name="Accent4 3" xfId="142"/>
    <cellStyle name="Accent5" xfId="23" builtinId="45" customBuiltin="1"/>
    <cellStyle name="Accent5 2" xfId="70"/>
    <cellStyle name="Accent5 3" xfId="146"/>
    <cellStyle name="Accent6" xfId="24" builtinId="49" customBuiltin="1"/>
    <cellStyle name="Accent6 2" xfId="71"/>
    <cellStyle name="Accent6 3" xfId="150"/>
    <cellStyle name="Bad" xfId="25" builtinId="27" customBuiltin="1"/>
    <cellStyle name="Bad 2" xfId="72"/>
    <cellStyle name="Bad 3" xfId="119"/>
    <cellStyle name="Calculation" xfId="26" builtinId="22" customBuiltin="1"/>
    <cellStyle name="Calculation 2" xfId="73"/>
    <cellStyle name="Calculation 3" xfId="123"/>
    <cellStyle name="Check Cell" xfId="27" builtinId="23" customBuiltin="1"/>
    <cellStyle name="Check Cell 2" xfId="74"/>
    <cellStyle name="Check Cell 3" xfId="125"/>
    <cellStyle name="Comma" xfId="28" builtinId="3"/>
    <cellStyle name="Comma 2" xfId="75"/>
    <cellStyle name="Comma 3" xfId="76"/>
    <cellStyle name="Comma 3 2" xfId="106"/>
    <cellStyle name="Comma_B Schedule Municipal Adjustments Budget - 23 March 2009 cb" xfId="29"/>
    <cellStyle name="Currency 8" xfId="77"/>
    <cellStyle name="Currency 8 2" xfId="107"/>
    <cellStyle name="Explanatory Text" xfId="30" builtinId="53" customBuiltin="1"/>
    <cellStyle name="Explanatory Text 2" xfId="78"/>
    <cellStyle name="Explanatory Text 3" xfId="128"/>
    <cellStyle name="Followed Hyperlink" xfId="155" builtinId="9" customBuiltin="1"/>
    <cellStyle name="Good" xfId="31" builtinId="26" customBuiltin="1"/>
    <cellStyle name="Good 2" xfId="79"/>
    <cellStyle name="Good 3" xfId="118"/>
    <cellStyle name="Heading 1" xfId="32" builtinId="16" customBuiltin="1"/>
    <cellStyle name="Heading 1 2" xfId="80"/>
    <cellStyle name="Heading 1 3" xfId="114"/>
    <cellStyle name="Heading 2" xfId="33" builtinId="17" customBuiltin="1"/>
    <cellStyle name="Heading 2 2" xfId="81"/>
    <cellStyle name="Heading 2 3" xfId="115"/>
    <cellStyle name="Heading 3" xfId="34" builtinId="18" customBuiltin="1"/>
    <cellStyle name="Heading 3 2" xfId="82"/>
    <cellStyle name="Heading 3 3" xfId="116"/>
    <cellStyle name="Heading 4" xfId="35" builtinId="19" customBuiltin="1"/>
    <cellStyle name="Heading 4 2" xfId="83"/>
    <cellStyle name="Heading 4 3" xfId="117"/>
    <cellStyle name="Hyperlink 2" xfId="84"/>
    <cellStyle name="Hyperlink 3" xfId="154"/>
    <cellStyle name="Hyperlink_AppA_Muncde_2010" xfId="36"/>
    <cellStyle name="Input" xfId="37" builtinId="20" customBuiltin="1"/>
    <cellStyle name="Input 2" xfId="85"/>
    <cellStyle name="Input 3" xfId="121"/>
    <cellStyle name="Linked Cell" xfId="38" builtinId="24" customBuiltin="1"/>
    <cellStyle name="Linked Cell 2" xfId="86"/>
    <cellStyle name="Linked Cell 3" xfId="124"/>
    <cellStyle name="Neutral" xfId="39" builtinId="28" customBuiltin="1"/>
    <cellStyle name="Neutral 2" xfId="87"/>
    <cellStyle name="Neutral 3" xfId="120"/>
    <cellStyle name="Normal" xfId="0" builtinId="0"/>
    <cellStyle name="Normal 138" xfId="88"/>
    <cellStyle name="Normal 138 2" xfId="108"/>
    <cellStyle name="Normal 146" xfId="89"/>
    <cellStyle name="Normal 146 2" xfId="109"/>
    <cellStyle name="Normal 2" xfId="90"/>
    <cellStyle name="Normal 23" xfId="91"/>
    <cellStyle name="Normal 3" xfId="92"/>
    <cellStyle name="Normal 3 2" xfId="110"/>
    <cellStyle name="Normal 4" xfId="93"/>
    <cellStyle name="Normal 4 2" xfId="94"/>
    <cellStyle name="Normal 4 3" xfId="95"/>
    <cellStyle name="Normal 5" xfId="47"/>
    <cellStyle name="Normal 6" xfId="96"/>
    <cellStyle name="Note" xfId="40" builtinId="10" customBuiltin="1"/>
    <cellStyle name="Note 2" xfId="97"/>
    <cellStyle name="Note 3" xfId="127"/>
    <cellStyle name="Output" xfId="41" builtinId="21" customBuiltin="1"/>
    <cellStyle name="Output 2" xfId="98"/>
    <cellStyle name="Output 3" xfId="122"/>
    <cellStyle name="Percent" xfId="42" builtinId="5"/>
    <cellStyle name="Percent 10 2" xfId="43"/>
    <cellStyle name="Percent 10 2 2" xfId="100"/>
    <cellStyle name="Percent 10 2 3" xfId="99"/>
    <cellStyle name="Percent 6" xfId="101"/>
    <cellStyle name="Percent 6 2" xfId="111"/>
    <cellStyle name="Percent 9" xfId="102"/>
    <cellStyle name="Percent 9 2" xfId="112"/>
    <cellStyle name="Title" xfId="44" builtinId="15" customBuiltin="1"/>
    <cellStyle name="Title 2" xfId="103"/>
    <cellStyle name="Title 3" xfId="113"/>
    <cellStyle name="Total" xfId="45" builtinId="25" customBuiltin="1"/>
    <cellStyle name="Total 2" xfId="104"/>
    <cellStyle name="Total 3" xfId="129"/>
    <cellStyle name="Warning Text" xfId="46" builtinId="11" customBuiltin="1"/>
    <cellStyle name="Warning Text 2" xfId="10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62467814.170000002</c:v>
                </c:pt>
                <c:pt idx="1">
                  <c:v>30660695.360000003</c:v>
                </c:pt>
                <c:pt idx="2">
                  <c:v>16645040.890000001</c:v>
                </c:pt>
                <c:pt idx="3">
                  <c:v>12890610.380000001</c:v>
                </c:pt>
                <c:pt idx="4">
                  <c:v>552247897.1500001</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146391552"/>
        <c:axId val="146392112"/>
        <c:axId val="0"/>
      </c:bar3DChart>
      <c:catAx>
        <c:axId val="1463915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46392112"/>
        <c:crosses val="autoZero"/>
        <c:auto val="1"/>
        <c:lblAlgn val="ctr"/>
        <c:lblOffset val="100"/>
        <c:tickLblSkip val="1"/>
        <c:tickMarkSkip val="1"/>
        <c:noMultiLvlLbl val="0"/>
      </c:catAx>
      <c:valAx>
        <c:axId val="146392112"/>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4639155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21131045.316</c:v>
                </c:pt>
                <c:pt idx="1">
                  <c:v>222696023.3046</c:v>
                </c:pt>
                <c:pt idx="2">
                  <c:v>350909020.26320004</c:v>
                </c:pt>
                <c:pt idx="3">
                  <c:v>59928607.327699997</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21784582.800000001</c:v>
                </c:pt>
                <c:pt idx="1">
                  <c:v>229583529.18000001</c:v>
                </c:pt>
                <c:pt idx="2">
                  <c:v>361761876.56000006</c:v>
                </c:pt>
                <c:pt idx="3">
                  <c:v>61782069.409999996</c:v>
                </c:pt>
              </c:numCache>
            </c:numRef>
          </c:val>
        </c:ser>
        <c:dLbls>
          <c:showLegendKey val="0"/>
          <c:showVal val="0"/>
          <c:showCatName val="0"/>
          <c:showSerName val="0"/>
          <c:showPercent val="0"/>
          <c:showBubbleSize val="0"/>
        </c:dLbls>
        <c:gapWidth val="150"/>
        <c:shape val="box"/>
        <c:axId val="146396592"/>
        <c:axId val="146397152"/>
        <c:axId val="0"/>
      </c:bar3DChart>
      <c:catAx>
        <c:axId val="146396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6397152"/>
        <c:crosses val="autoZero"/>
        <c:auto val="1"/>
        <c:lblAlgn val="ctr"/>
        <c:lblOffset val="100"/>
        <c:tickLblSkip val="1"/>
        <c:tickMarkSkip val="1"/>
        <c:noMultiLvlLbl val="0"/>
      </c:catAx>
      <c:valAx>
        <c:axId val="14639715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639659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2974791</c:v>
                </c:pt>
                <c:pt idx="7">
                  <c:v>0</c:v>
                </c:pt>
                <c:pt idx="8">
                  <c:v>0</c:v>
                </c:pt>
              </c:numCache>
            </c:numRef>
          </c:val>
        </c:ser>
        <c:dLbls>
          <c:showLegendKey val="0"/>
          <c:showVal val="0"/>
          <c:showCatName val="0"/>
          <c:showSerName val="0"/>
          <c:showPercent val="0"/>
          <c:showBubbleSize val="0"/>
        </c:dLbls>
        <c:gapWidth val="150"/>
        <c:shape val="box"/>
        <c:axId val="202668048"/>
        <c:axId val="202668608"/>
        <c:axId val="0"/>
      </c:bar3DChart>
      <c:catAx>
        <c:axId val="20266804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668608"/>
        <c:crosses val="autoZero"/>
        <c:auto val="1"/>
        <c:lblAlgn val="ctr"/>
        <c:lblOffset val="100"/>
        <c:tickLblSkip val="2"/>
        <c:tickMarkSkip val="1"/>
        <c:noMultiLvlLbl val="0"/>
      </c:catAx>
      <c:valAx>
        <c:axId val="2026686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66804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19231011.369999997</c:v>
                </c:pt>
                <c:pt idx="1">
                  <c:v>7413792.5199999996</c:v>
                </c:pt>
                <c:pt idx="2">
                  <c:v>5606695.8200000003</c:v>
                </c:pt>
                <c:pt idx="3">
                  <c:v>5872546.5199999996</c:v>
                </c:pt>
                <c:pt idx="4">
                  <c:v>4185356.82</c:v>
                </c:pt>
                <c:pt idx="5">
                  <c:v>7353836.1899999995</c:v>
                </c:pt>
                <c:pt idx="6">
                  <c:v>2583015.5900000003</c:v>
                </c:pt>
                <c:pt idx="7">
                  <c:v>10959701.699999999</c:v>
                </c:pt>
                <c:pt idx="8">
                  <c:v>5548374.54</c:v>
                </c:pt>
                <c:pt idx="9">
                  <c:v>8654474.5399999991</c:v>
                </c:pt>
                <c:pt idx="10">
                  <c:v>17774802.169999998</c:v>
                </c:pt>
                <c:pt idx="11">
                  <c:v>8264280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5554740.2300000004</c:v>
                </c:pt>
                <c:pt idx="1">
                  <c:v>24246351.16</c:v>
                </c:pt>
                <c:pt idx="2">
                  <c:v>4790238.71</c:v>
                </c:pt>
                <c:pt idx="3">
                  <c:v>4804471.47</c:v>
                </c:pt>
                <c:pt idx="4">
                  <c:v>9915031.4600000009</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203173056"/>
        <c:axId val="203173616"/>
        <c:axId val="0"/>
      </c:bar3DChart>
      <c:catAx>
        <c:axId val="2031730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03173616"/>
        <c:crosses val="autoZero"/>
        <c:auto val="1"/>
        <c:lblAlgn val="ctr"/>
        <c:lblOffset val="100"/>
        <c:tickLblSkip val="1"/>
        <c:tickMarkSkip val="1"/>
        <c:noMultiLvlLbl val="0"/>
      </c:catAx>
      <c:valAx>
        <c:axId val="20317361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1730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5554740.2300000004</c:v>
                </c:pt>
                <c:pt idx="1">
                  <c:v>29801091.390000001</c:v>
                </c:pt>
                <c:pt idx="2">
                  <c:v>34591330.100000001</c:v>
                </c:pt>
                <c:pt idx="3">
                  <c:v>39395801.57</c:v>
                </c:pt>
                <c:pt idx="4">
                  <c:v>49310833.030000001</c:v>
                </c:pt>
                <c:pt idx="5">
                  <c:v>0</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203178656"/>
        <c:axId val="203179216"/>
        <c:axId val="0"/>
      </c:bar3DChart>
      <c:catAx>
        <c:axId val="203178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03179216"/>
        <c:crosses val="autoZero"/>
        <c:auto val="1"/>
        <c:lblAlgn val="ctr"/>
        <c:lblOffset val="100"/>
        <c:tickLblSkip val="1"/>
        <c:tickMarkSkip val="1"/>
        <c:noMultiLvlLbl val="0"/>
      </c:catAx>
      <c:valAx>
        <c:axId val="203179216"/>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178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sel="5" val="3"/>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097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2" zoomScaleNormal="100" workbookViewId="0"/>
  </sheetViews>
  <sheetFormatPr defaultRowHeight="12.75" x14ac:dyDescent="0.2"/>
  <sheetData>
    <row r="1" spans="1:1" x14ac:dyDescent="0.2">
      <c r="A1" t="str">
        <f>muni</f>
        <v>LIM333 Greater Tzaneen</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5</v>
      </c>
    </row>
    <row r="11" spans="4:25" x14ac:dyDescent="0.2">
      <c r="W11" s="647" t="s">
        <v>879</v>
      </c>
      <c r="X11" s="702" t="str">
        <f>VLOOKUP(X10,W39:X55,2)</f>
        <v>M05 November</v>
      </c>
      <c r="Y11" s="904">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3"/>
    </row>
    <row r="40" spans="22:25" x14ac:dyDescent="0.2">
      <c r="W40" s="647">
        <v>2</v>
      </c>
      <c r="X40" s="647" t="s">
        <v>875</v>
      </c>
      <c r="Y40" s="903"/>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5" t="s">
        <v>651</v>
      </c>
      <c r="B1" s="986"/>
      <c r="C1" s="986"/>
      <c r="D1" s="987"/>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M05 November</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90" t="s">
        <v>762</v>
      </c>
      <c r="B72" s="991"/>
      <c r="C72" s="991"/>
      <c r="D72" s="992"/>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8" t="s">
        <v>805</v>
      </c>
      <c r="B76" s="989"/>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7" t="s">
        <v>189</v>
      </c>
      <c r="C28" s="1" t="s">
        <v>190</v>
      </c>
    </row>
    <row r="29" spans="1:3" ht="12.75" x14ac:dyDescent="0.2">
      <c r="B29" s="923" t="s">
        <v>1076</v>
      </c>
      <c r="C29" s="946" t="s">
        <v>1345</v>
      </c>
    </row>
    <row r="30" spans="1:3" ht="12.75" x14ac:dyDescent="0.2">
      <c r="B30" s="923" t="s">
        <v>1077</v>
      </c>
      <c r="C30" s="947" t="s">
        <v>1345</v>
      </c>
    </row>
    <row r="31" spans="1:3" ht="12.75" x14ac:dyDescent="0.2">
      <c r="B31" s="923" t="s">
        <v>1346</v>
      </c>
      <c r="C31" s="946" t="s">
        <v>1345</v>
      </c>
    </row>
    <row r="32" spans="1:3" ht="12.75" x14ac:dyDescent="0.2">
      <c r="B32" s="923" t="s">
        <v>225</v>
      </c>
      <c r="C32" s="946" t="s">
        <v>1345</v>
      </c>
    </row>
    <row r="33" spans="2:3" ht="12.75" x14ac:dyDescent="0.2">
      <c r="B33" s="923" t="s">
        <v>226</v>
      </c>
      <c r="C33" s="946" t="s">
        <v>1345</v>
      </c>
    </row>
    <row r="34" spans="2:3" ht="12.75" x14ac:dyDescent="0.2">
      <c r="B34" s="923" t="s">
        <v>227</v>
      </c>
      <c r="C34" s="946" t="s">
        <v>1345</v>
      </c>
    </row>
    <row r="35" spans="2:3" ht="12.75" x14ac:dyDescent="0.2">
      <c r="B35" s="923" t="s">
        <v>228</v>
      </c>
      <c r="C35" s="946" t="s">
        <v>1345</v>
      </c>
    </row>
    <row r="36" spans="2:3" ht="12.75" x14ac:dyDescent="0.2">
      <c r="B36" s="923" t="s">
        <v>229</v>
      </c>
      <c r="C36" s="947" t="s">
        <v>1345</v>
      </c>
    </row>
    <row r="37" spans="2:3" ht="12.75" x14ac:dyDescent="0.2">
      <c r="B37" s="923" t="s">
        <v>991</v>
      </c>
      <c r="C37" s="946" t="s">
        <v>1345</v>
      </c>
    </row>
    <row r="38" spans="2:3" ht="12.75" x14ac:dyDescent="0.2">
      <c r="B38" s="923" t="s">
        <v>1111</v>
      </c>
      <c r="C38" s="921" t="s">
        <v>1345</v>
      </c>
    </row>
    <row r="39" spans="2:3" ht="12.75" x14ac:dyDescent="0.2">
      <c r="B39" s="923" t="s">
        <v>230</v>
      </c>
      <c r="C39" s="921" t="s">
        <v>1345</v>
      </c>
    </row>
    <row r="40" spans="2:3" ht="12.75" x14ac:dyDescent="0.2">
      <c r="B40" s="923" t="s">
        <v>231</v>
      </c>
      <c r="C40" s="892" t="s">
        <v>1345</v>
      </c>
    </row>
    <row r="41" spans="2:3" ht="12.75" x14ac:dyDescent="0.2">
      <c r="B41" s="923" t="s">
        <v>232</v>
      </c>
      <c r="C41" s="892" t="s">
        <v>1345</v>
      </c>
    </row>
    <row r="42" spans="2:3" ht="12.75" x14ac:dyDescent="0.2">
      <c r="B42" s="923" t="s">
        <v>233</v>
      </c>
      <c r="C42" s="892" t="s">
        <v>1345</v>
      </c>
    </row>
    <row r="43" spans="2:3" ht="12.75" x14ac:dyDescent="0.2">
      <c r="B43" s="923" t="s">
        <v>234</v>
      </c>
      <c r="C43" s="892" t="s">
        <v>1345</v>
      </c>
    </row>
    <row r="44" spans="2:3" ht="12.75" x14ac:dyDescent="0.2">
      <c r="B44" s="948" t="s">
        <v>1115</v>
      </c>
      <c r="C44" s="892" t="s">
        <v>1345</v>
      </c>
    </row>
    <row r="45" spans="2:3" ht="12.75" x14ac:dyDescent="0.2">
      <c r="B45" s="923" t="s">
        <v>192</v>
      </c>
      <c r="C45" s="892" t="s">
        <v>1345</v>
      </c>
    </row>
    <row r="46" spans="2:3" ht="12.75" x14ac:dyDescent="0.2">
      <c r="B46" s="923" t="s">
        <v>235</v>
      </c>
      <c r="C46" s="892" t="s">
        <v>1345</v>
      </c>
    </row>
    <row r="47" spans="2:3" ht="12.75" x14ac:dyDescent="0.2">
      <c r="B47" s="923" t="s">
        <v>236</v>
      </c>
      <c r="C47" s="892" t="s">
        <v>1345</v>
      </c>
    </row>
    <row r="48" spans="2:3" ht="12.75" x14ac:dyDescent="0.2">
      <c r="B48" s="923" t="s">
        <v>237</v>
      </c>
      <c r="C48" s="892" t="s">
        <v>1345</v>
      </c>
    </row>
    <row r="49" spans="2:3" ht="12.75" x14ac:dyDescent="0.2">
      <c r="B49" s="923" t="s">
        <v>238</v>
      </c>
      <c r="C49" s="892" t="s">
        <v>1345</v>
      </c>
    </row>
    <row r="50" spans="2:3" ht="12.75" x14ac:dyDescent="0.2">
      <c r="B50" s="923" t="s">
        <v>239</v>
      </c>
      <c r="C50" s="921" t="s">
        <v>1345</v>
      </c>
    </row>
    <row r="51" spans="2:3" ht="12.75" x14ac:dyDescent="0.2">
      <c r="B51" s="948" t="s">
        <v>1116</v>
      </c>
      <c r="C51" s="921" t="s">
        <v>1345</v>
      </c>
    </row>
    <row r="52" spans="2:3" ht="12.75" x14ac:dyDescent="0.2">
      <c r="B52" s="923" t="s">
        <v>193</v>
      </c>
      <c r="C52" s="921" t="s">
        <v>1345</v>
      </c>
    </row>
    <row r="53" spans="2:3" ht="12.75" x14ac:dyDescent="0.2">
      <c r="B53" s="923" t="s">
        <v>240</v>
      </c>
      <c r="C53" s="921" t="s">
        <v>1345</v>
      </c>
    </row>
    <row r="54" spans="2:3" ht="12.75" x14ac:dyDescent="0.2">
      <c r="B54" s="923" t="s">
        <v>241</v>
      </c>
      <c r="C54" s="921" t="s">
        <v>1345</v>
      </c>
    </row>
    <row r="55" spans="2:3" ht="12.75" x14ac:dyDescent="0.2">
      <c r="B55" s="948" t="s">
        <v>1117</v>
      </c>
      <c r="C55" s="921" t="s">
        <v>1345</v>
      </c>
    </row>
    <row r="56" spans="2:3" ht="12.75" x14ac:dyDescent="0.2">
      <c r="B56" s="923" t="s">
        <v>989</v>
      </c>
      <c r="C56" s="921" t="s">
        <v>1345</v>
      </c>
    </row>
    <row r="57" spans="2:3" ht="12.75" x14ac:dyDescent="0.2">
      <c r="B57" s="923" t="s">
        <v>242</v>
      </c>
      <c r="C57" s="647" t="s">
        <v>1345</v>
      </c>
    </row>
    <row r="58" spans="2:3" ht="12.75" x14ac:dyDescent="0.2">
      <c r="B58" s="923" t="s">
        <v>243</v>
      </c>
      <c r="C58" s="647" t="s">
        <v>1345</v>
      </c>
    </row>
    <row r="59" spans="2:3" ht="12.75" x14ac:dyDescent="0.2">
      <c r="B59" s="923" t="s">
        <v>244</v>
      </c>
      <c r="C59" s="921" t="s">
        <v>1345</v>
      </c>
    </row>
    <row r="60" spans="2:3" ht="12.75" x14ac:dyDescent="0.2">
      <c r="B60" s="923" t="s">
        <v>245</v>
      </c>
      <c r="C60" s="921" t="s">
        <v>1345</v>
      </c>
    </row>
    <row r="61" spans="2:3" ht="12.75" x14ac:dyDescent="0.2">
      <c r="B61" s="923" t="s">
        <v>246</v>
      </c>
      <c r="C61" s="921" t="s">
        <v>1345</v>
      </c>
    </row>
    <row r="62" spans="2:3" ht="12.75" x14ac:dyDescent="0.2">
      <c r="B62" s="923" t="s">
        <v>194</v>
      </c>
      <c r="C62" s="921" t="s">
        <v>1345</v>
      </c>
    </row>
    <row r="63" spans="2:3" ht="12.75" x14ac:dyDescent="0.2">
      <c r="B63" s="923" t="s">
        <v>247</v>
      </c>
      <c r="C63" s="892" t="s">
        <v>1345</v>
      </c>
    </row>
    <row r="64" spans="2:3" ht="12.75" x14ac:dyDescent="0.2">
      <c r="B64" s="923" t="s">
        <v>248</v>
      </c>
      <c r="C64" s="921" t="s">
        <v>1345</v>
      </c>
    </row>
    <row r="65" spans="2:3" ht="12.75" x14ac:dyDescent="0.2">
      <c r="B65" s="923" t="s">
        <v>1071</v>
      </c>
      <c r="C65" s="921" t="s">
        <v>1345</v>
      </c>
    </row>
    <row r="66" spans="2:3" ht="12.75" x14ac:dyDescent="0.2">
      <c r="B66" s="923" t="s">
        <v>1072</v>
      </c>
      <c r="C66" s="921" t="s">
        <v>1345</v>
      </c>
    </row>
    <row r="67" spans="2:3" ht="12.75" x14ac:dyDescent="0.2">
      <c r="B67" s="923" t="s">
        <v>220</v>
      </c>
      <c r="C67" s="921" t="s">
        <v>1345</v>
      </c>
    </row>
    <row r="68" spans="2:3" ht="12.75" x14ac:dyDescent="0.2">
      <c r="B68" s="923" t="s">
        <v>1078</v>
      </c>
      <c r="C68" s="921" t="s">
        <v>1347</v>
      </c>
    </row>
    <row r="69" spans="2:3" ht="12.75" x14ac:dyDescent="0.2">
      <c r="B69" s="923" t="s">
        <v>249</v>
      </c>
      <c r="C69" s="921" t="s">
        <v>1347</v>
      </c>
    </row>
    <row r="70" spans="2:3" ht="12.75" x14ac:dyDescent="0.2">
      <c r="B70" s="923" t="s">
        <v>250</v>
      </c>
      <c r="C70" s="921" t="s">
        <v>1347</v>
      </c>
    </row>
    <row r="71" spans="2:3" ht="12.75" x14ac:dyDescent="0.2">
      <c r="B71" s="923" t="s">
        <v>251</v>
      </c>
      <c r="C71" s="921" t="s">
        <v>1347</v>
      </c>
    </row>
    <row r="72" spans="2:3" ht="12.75" x14ac:dyDescent="0.2">
      <c r="B72" s="923" t="s">
        <v>195</v>
      </c>
      <c r="C72" s="921" t="s">
        <v>1347</v>
      </c>
    </row>
    <row r="73" spans="2:3" ht="12.75" x14ac:dyDescent="0.2">
      <c r="B73" s="923" t="s">
        <v>252</v>
      </c>
      <c r="C73" s="921" t="s">
        <v>1347</v>
      </c>
    </row>
    <row r="74" spans="2:3" ht="12.75" x14ac:dyDescent="0.2">
      <c r="B74" s="923" t="s">
        <v>253</v>
      </c>
      <c r="C74" s="921" t="s">
        <v>1347</v>
      </c>
    </row>
    <row r="75" spans="2:3" ht="12.75" x14ac:dyDescent="0.2">
      <c r="B75" s="923" t="s">
        <v>254</v>
      </c>
      <c r="C75" s="921" t="s">
        <v>1347</v>
      </c>
    </row>
    <row r="76" spans="2:3" ht="12.75" x14ac:dyDescent="0.2">
      <c r="B76" s="923" t="s">
        <v>255</v>
      </c>
      <c r="C76" s="921" t="s">
        <v>1347</v>
      </c>
    </row>
    <row r="77" spans="2:3" ht="12.75" x14ac:dyDescent="0.2">
      <c r="B77" s="923" t="s">
        <v>256</v>
      </c>
      <c r="C77" s="921" t="s">
        <v>1347</v>
      </c>
    </row>
    <row r="78" spans="2:3" ht="12.75" x14ac:dyDescent="0.2">
      <c r="B78" s="923" t="s">
        <v>196</v>
      </c>
      <c r="C78" s="921" t="s">
        <v>1347</v>
      </c>
    </row>
    <row r="79" spans="2:3" ht="12.75" x14ac:dyDescent="0.2">
      <c r="B79" s="923" t="s">
        <v>257</v>
      </c>
      <c r="C79" s="921" t="s">
        <v>1347</v>
      </c>
    </row>
    <row r="80" spans="2:3" ht="12.75" x14ac:dyDescent="0.2">
      <c r="B80" s="923" t="s">
        <v>258</v>
      </c>
      <c r="C80" s="921" t="s">
        <v>1347</v>
      </c>
    </row>
    <row r="81" spans="2:3" ht="12.75" x14ac:dyDescent="0.2">
      <c r="B81" s="923" t="s">
        <v>259</v>
      </c>
      <c r="C81" s="921" t="s">
        <v>1347</v>
      </c>
    </row>
    <row r="82" spans="2:3" ht="12.75" x14ac:dyDescent="0.2">
      <c r="B82" s="923" t="s">
        <v>260</v>
      </c>
      <c r="C82" s="921" t="s">
        <v>1347</v>
      </c>
    </row>
    <row r="83" spans="2:3" ht="12.75" x14ac:dyDescent="0.2">
      <c r="B83" s="923" t="s">
        <v>261</v>
      </c>
      <c r="C83" s="921" t="s">
        <v>1347</v>
      </c>
    </row>
    <row r="84" spans="2:3" ht="12.75" x14ac:dyDescent="0.2">
      <c r="B84" s="923" t="s">
        <v>1073</v>
      </c>
      <c r="C84" s="921" t="s">
        <v>1347</v>
      </c>
    </row>
    <row r="85" spans="2:3" ht="12.75" x14ac:dyDescent="0.2">
      <c r="B85" s="923" t="s">
        <v>197</v>
      </c>
      <c r="C85" s="921" t="s">
        <v>1347</v>
      </c>
    </row>
    <row r="86" spans="2:3" ht="12.75" x14ac:dyDescent="0.2">
      <c r="B86" s="923" t="s">
        <v>262</v>
      </c>
      <c r="C86" s="921" t="s">
        <v>1347</v>
      </c>
    </row>
    <row r="87" spans="2:3" ht="12.75" x14ac:dyDescent="0.2">
      <c r="B87" s="923" t="s">
        <v>263</v>
      </c>
      <c r="C87" s="921" t="s">
        <v>1347</v>
      </c>
    </row>
    <row r="88" spans="2:3" ht="12.75" x14ac:dyDescent="0.2">
      <c r="B88" s="923" t="s">
        <v>264</v>
      </c>
      <c r="C88" s="921" t="s">
        <v>1347</v>
      </c>
    </row>
    <row r="89" spans="2:3" ht="12.75" x14ac:dyDescent="0.2">
      <c r="B89" s="923" t="s">
        <v>265</v>
      </c>
      <c r="C89" s="921" t="s">
        <v>1347</v>
      </c>
    </row>
    <row r="90" spans="2:3" ht="12.75" x14ac:dyDescent="0.2">
      <c r="B90" s="923" t="s">
        <v>198</v>
      </c>
      <c r="C90" s="921" t="s">
        <v>1347</v>
      </c>
    </row>
    <row r="91" spans="2:3" ht="12.75" x14ac:dyDescent="0.2">
      <c r="B91" s="923" t="s">
        <v>1348</v>
      </c>
      <c r="C91" s="921" t="s">
        <v>1349</v>
      </c>
    </row>
    <row r="92" spans="2:3" ht="12.75" x14ac:dyDescent="0.2">
      <c r="B92" s="923" t="s">
        <v>1079</v>
      </c>
      <c r="C92" s="921" t="s">
        <v>1349</v>
      </c>
    </row>
    <row r="93" spans="2:3" ht="12.75" x14ac:dyDescent="0.2">
      <c r="B93" s="923" t="s">
        <v>1080</v>
      </c>
      <c r="C93" s="921" t="s">
        <v>1349</v>
      </c>
    </row>
    <row r="94" spans="2:3" ht="12.75" x14ac:dyDescent="0.2">
      <c r="B94" s="923" t="s">
        <v>266</v>
      </c>
      <c r="C94" s="921" t="s">
        <v>1349</v>
      </c>
    </row>
    <row r="95" spans="2:3" ht="12.75" x14ac:dyDescent="0.2">
      <c r="B95" s="923" t="s">
        <v>267</v>
      </c>
      <c r="C95" s="921" t="s">
        <v>1349</v>
      </c>
    </row>
    <row r="96" spans="2:3" ht="12.75" x14ac:dyDescent="0.2">
      <c r="B96" s="923" t="s">
        <v>268</v>
      </c>
      <c r="C96" s="921" t="s">
        <v>1349</v>
      </c>
    </row>
    <row r="97" spans="2:3" ht="12.75" x14ac:dyDescent="0.2">
      <c r="B97" s="923" t="s">
        <v>219</v>
      </c>
      <c r="C97" s="921" t="s">
        <v>1349</v>
      </c>
    </row>
    <row r="98" spans="2:3" ht="12.75" x14ac:dyDescent="0.2">
      <c r="B98" s="923" t="s">
        <v>269</v>
      </c>
      <c r="C98" s="921" t="s">
        <v>1349</v>
      </c>
    </row>
    <row r="99" spans="2:3" ht="12.75" x14ac:dyDescent="0.2">
      <c r="B99" s="923" t="s">
        <v>992</v>
      </c>
      <c r="C99" s="921" t="s">
        <v>1349</v>
      </c>
    </row>
    <row r="100" spans="2:3" ht="12.75" x14ac:dyDescent="0.2">
      <c r="B100" s="948" t="s">
        <v>1350</v>
      </c>
      <c r="C100" s="921" t="s">
        <v>1349</v>
      </c>
    </row>
    <row r="101" spans="2:3" ht="12.75" x14ac:dyDescent="0.2">
      <c r="B101" s="923" t="s">
        <v>221</v>
      </c>
      <c r="C101" s="921" t="s">
        <v>1349</v>
      </c>
    </row>
    <row r="102" spans="2:3" ht="12.75" x14ac:dyDescent="0.2">
      <c r="B102" s="923" t="s">
        <v>1081</v>
      </c>
      <c r="C102" s="921" t="s">
        <v>1351</v>
      </c>
    </row>
    <row r="103" spans="2:3" ht="12.75" x14ac:dyDescent="0.2">
      <c r="B103" s="923" t="s">
        <v>270</v>
      </c>
      <c r="C103" s="921" t="s">
        <v>1351</v>
      </c>
    </row>
    <row r="104" spans="2:3" ht="12.75" x14ac:dyDescent="0.2">
      <c r="B104" s="923" t="s">
        <v>271</v>
      </c>
      <c r="C104" s="946" t="s">
        <v>1351</v>
      </c>
    </row>
    <row r="105" spans="2:3" ht="12.75" x14ac:dyDescent="0.2">
      <c r="B105" s="923" t="s">
        <v>272</v>
      </c>
      <c r="C105" s="946" t="s">
        <v>1351</v>
      </c>
    </row>
    <row r="106" spans="2:3" ht="12.75" x14ac:dyDescent="0.2">
      <c r="B106" s="923" t="s">
        <v>1123</v>
      </c>
      <c r="C106" s="946" t="s">
        <v>1351</v>
      </c>
    </row>
    <row r="107" spans="2:3" ht="12.75" x14ac:dyDescent="0.2">
      <c r="B107" s="923" t="s">
        <v>199</v>
      </c>
      <c r="C107" s="946" t="s">
        <v>1351</v>
      </c>
    </row>
    <row r="108" spans="2:3" ht="12.75" x14ac:dyDescent="0.2">
      <c r="B108" s="923" t="s">
        <v>273</v>
      </c>
      <c r="C108" s="946" t="s">
        <v>1351</v>
      </c>
    </row>
    <row r="109" spans="2:3" ht="12.75" x14ac:dyDescent="0.2">
      <c r="B109" s="923" t="s">
        <v>274</v>
      </c>
      <c r="C109" s="946" t="s">
        <v>1351</v>
      </c>
    </row>
    <row r="110" spans="2:3" ht="12.75" x14ac:dyDescent="0.2">
      <c r="B110" s="923" t="s">
        <v>275</v>
      </c>
      <c r="C110" s="946" t="s">
        <v>1351</v>
      </c>
    </row>
    <row r="111" spans="2:3" ht="12.75" x14ac:dyDescent="0.2">
      <c r="B111" s="923" t="s">
        <v>276</v>
      </c>
      <c r="C111" s="946" t="s">
        <v>1351</v>
      </c>
    </row>
    <row r="112" spans="2:3" ht="12.75" x14ac:dyDescent="0.2">
      <c r="B112" s="923" t="s">
        <v>277</v>
      </c>
      <c r="C112" s="946" t="s">
        <v>1351</v>
      </c>
    </row>
    <row r="113" spans="2:3" ht="12.75" x14ac:dyDescent="0.2">
      <c r="B113" s="923" t="s">
        <v>278</v>
      </c>
      <c r="C113" s="946" t="s">
        <v>1351</v>
      </c>
    </row>
    <row r="114" spans="2:3" ht="12.75" x14ac:dyDescent="0.2">
      <c r="B114" s="923" t="s">
        <v>279</v>
      </c>
      <c r="C114" s="946" t="s">
        <v>1351</v>
      </c>
    </row>
    <row r="115" spans="2:3" ht="12.75" x14ac:dyDescent="0.2">
      <c r="B115" s="923" t="s">
        <v>200</v>
      </c>
      <c r="C115" s="946" t="s">
        <v>1351</v>
      </c>
    </row>
    <row r="116" spans="2:3" ht="12.75" x14ac:dyDescent="0.2">
      <c r="B116" s="923" t="s">
        <v>280</v>
      </c>
      <c r="C116" s="946" t="s">
        <v>1351</v>
      </c>
    </row>
    <row r="117" spans="2:3" ht="12.75" x14ac:dyDescent="0.2">
      <c r="B117" s="948" t="s">
        <v>1118</v>
      </c>
      <c r="C117" s="946" t="s">
        <v>1351</v>
      </c>
    </row>
    <row r="118" spans="2:3" ht="12.75" x14ac:dyDescent="0.2">
      <c r="B118" s="948" t="s">
        <v>1119</v>
      </c>
      <c r="C118" s="946" t="s">
        <v>1351</v>
      </c>
    </row>
    <row r="119" spans="2:3" ht="12.75" x14ac:dyDescent="0.2">
      <c r="B119" s="923" t="s">
        <v>201</v>
      </c>
      <c r="C119" s="946" t="s">
        <v>1351</v>
      </c>
    </row>
    <row r="120" spans="2:3" ht="12.75" x14ac:dyDescent="0.2">
      <c r="B120" s="923" t="s">
        <v>281</v>
      </c>
      <c r="C120" s="946" t="s">
        <v>1351</v>
      </c>
    </row>
    <row r="121" spans="2:3" ht="12.75" x14ac:dyDescent="0.2">
      <c r="B121" s="923" t="s">
        <v>282</v>
      </c>
      <c r="C121" s="946" t="s">
        <v>1351</v>
      </c>
    </row>
    <row r="122" spans="2:3" ht="12.75" x14ac:dyDescent="0.2">
      <c r="B122" s="923" t="s">
        <v>283</v>
      </c>
      <c r="C122" s="946" t="s">
        <v>1351</v>
      </c>
    </row>
    <row r="123" spans="2:3" ht="12.75" x14ac:dyDescent="0.2">
      <c r="B123" s="923" t="s">
        <v>285</v>
      </c>
      <c r="C123" s="946" t="s">
        <v>1351</v>
      </c>
    </row>
    <row r="124" spans="2:3" ht="12.75" x14ac:dyDescent="0.2">
      <c r="B124" s="923" t="s">
        <v>202</v>
      </c>
      <c r="C124" s="921" t="s">
        <v>1351</v>
      </c>
    </row>
    <row r="125" spans="2:3" ht="12.75" x14ac:dyDescent="0.2">
      <c r="B125" s="923" t="s">
        <v>286</v>
      </c>
      <c r="C125" s="921" t="s">
        <v>1351</v>
      </c>
    </row>
    <row r="126" spans="2:3" ht="12.75" x14ac:dyDescent="0.2">
      <c r="B126" s="923" t="s">
        <v>1352</v>
      </c>
      <c r="C126" s="921" t="s">
        <v>1351</v>
      </c>
    </row>
    <row r="127" spans="2:3" ht="12.75" x14ac:dyDescent="0.2">
      <c r="B127" s="923" t="s">
        <v>287</v>
      </c>
      <c r="C127" s="921" t="s">
        <v>1351</v>
      </c>
    </row>
    <row r="128" spans="2:3" ht="12.75" x14ac:dyDescent="0.2">
      <c r="B128" s="923" t="s">
        <v>203</v>
      </c>
      <c r="C128" s="921" t="s">
        <v>1351</v>
      </c>
    </row>
    <row r="129" spans="2:3" ht="12.75" x14ac:dyDescent="0.2">
      <c r="B129" s="923" t="s">
        <v>288</v>
      </c>
      <c r="C129" s="921" t="s">
        <v>1351</v>
      </c>
    </row>
    <row r="130" spans="2:3" ht="12.75" x14ac:dyDescent="0.2">
      <c r="B130" s="923" t="s">
        <v>289</v>
      </c>
      <c r="C130" s="921" t="s">
        <v>1351</v>
      </c>
    </row>
    <row r="131" spans="2:3" ht="12.75" x14ac:dyDescent="0.2">
      <c r="B131" s="923" t="s">
        <v>290</v>
      </c>
      <c r="C131" s="921" t="s">
        <v>1351</v>
      </c>
    </row>
    <row r="132" spans="2:3" ht="12.75" x14ac:dyDescent="0.2">
      <c r="B132" s="923" t="s">
        <v>291</v>
      </c>
      <c r="C132" s="921" t="s">
        <v>1351</v>
      </c>
    </row>
    <row r="133" spans="2:3" ht="12.75" x14ac:dyDescent="0.2">
      <c r="B133" s="923" t="s">
        <v>292</v>
      </c>
      <c r="C133" s="921" t="s">
        <v>1351</v>
      </c>
    </row>
    <row r="134" spans="2:3" ht="12.75" x14ac:dyDescent="0.2">
      <c r="B134" s="923" t="s">
        <v>204</v>
      </c>
      <c r="C134" s="892" t="s">
        <v>1351</v>
      </c>
    </row>
    <row r="135" spans="2:3" ht="12.75" x14ac:dyDescent="0.2">
      <c r="B135" s="923" t="s">
        <v>293</v>
      </c>
      <c r="C135" s="892" t="s">
        <v>1351</v>
      </c>
    </row>
    <row r="136" spans="2:3" ht="12.75" x14ac:dyDescent="0.2">
      <c r="B136" s="923" t="s">
        <v>294</v>
      </c>
      <c r="C136" s="892" t="s">
        <v>1351</v>
      </c>
    </row>
    <row r="137" spans="2:3" ht="12.75" x14ac:dyDescent="0.2">
      <c r="B137" s="923" t="s">
        <v>295</v>
      </c>
      <c r="C137" s="892" t="s">
        <v>1351</v>
      </c>
    </row>
    <row r="138" spans="2:3" ht="12.75" x14ac:dyDescent="0.2">
      <c r="B138" s="948" t="s">
        <v>1353</v>
      </c>
      <c r="C138" s="892" t="s">
        <v>1351</v>
      </c>
    </row>
    <row r="139" spans="2:3" ht="12.75" x14ac:dyDescent="0.2">
      <c r="B139" s="923" t="s">
        <v>205</v>
      </c>
      <c r="C139" s="892" t="s">
        <v>1351</v>
      </c>
    </row>
    <row r="140" spans="2:3" ht="12.75" x14ac:dyDescent="0.2">
      <c r="B140" s="923" t="s">
        <v>993</v>
      </c>
      <c r="C140" s="892" t="s">
        <v>1351</v>
      </c>
    </row>
    <row r="141" spans="2:3" ht="12.75" x14ac:dyDescent="0.2">
      <c r="B141" s="923" t="s">
        <v>296</v>
      </c>
      <c r="C141" s="892" t="s">
        <v>1351</v>
      </c>
    </row>
    <row r="142" spans="2:3" ht="12.75" x14ac:dyDescent="0.2">
      <c r="B142" s="923" t="s">
        <v>994</v>
      </c>
      <c r="C142" s="892" t="s">
        <v>1351</v>
      </c>
    </row>
    <row r="143" spans="2:3" ht="12.75" x14ac:dyDescent="0.2">
      <c r="B143" s="923" t="s">
        <v>297</v>
      </c>
      <c r="C143" s="892" t="s">
        <v>1351</v>
      </c>
    </row>
    <row r="144" spans="2:3" ht="12.75" x14ac:dyDescent="0.2">
      <c r="B144" s="923" t="s">
        <v>298</v>
      </c>
      <c r="C144" s="892" t="s">
        <v>1351</v>
      </c>
    </row>
    <row r="145" spans="2:3" ht="12.75" x14ac:dyDescent="0.2">
      <c r="B145" s="923" t="s">
        <v>1120</v>
      </c>
      <c r="C145" s="892" t="s">
        <v>1351</v>
      </c>
    </row>
    <row r="146" spans="2:3" ht="12.75" x14ac:dyDescent="0.2">
      <c r="B146" s="923" t="s">
        <v>299</v>
      </c>
      <c r="C146" s="892" t="s">
        <v>1351</v>
      </c>
    </row>
    <row r="147" spans="2:3" ht="12.75" x14ac:dyDescent="0.2">
      <c r="B147" s="923" t="s">
        <v>300</v>
      </c>
      <c r="C147" s="892" t="s">
        <v>1351</v>
      </c>
    </row>
    <row r="148" spans="2:3" ht="12.75" x14ac:dyDescent="0.2">
      <c r="B148" s="923" t="s">
        <v>301</v>
      </c>
      <c r="C148" s="892" t="s">
        <v>1351</v>
      </c>
    </row>
    <row r="149" spans="2:3" ht="12.75" x14ac:dyDescent="0.2">
      <c r="B149" s="923" t="s">
        <v>302</v>
      </c>
      <c r="C149" s="892" t="s">
        <v>1351</v>
      </c>
    </row>
    <row r="150" spans="2:3" ht="12.75" x14ac:dyDescent="0.2">
      <c r="B150" s="923" t="s">
        <v>206</v>
      </c>
      <c r="C150" s="892" t="s">
        <v>1351</v>
      </c>
    </row>
    <row r="151" spans="2:3" ht="12.75" x14ac:dyDescent="0.2">
      <c r="B151" s="923" t="s">
        <v>303</v>
      </c>
      <c r="C151" s="892" t="s">
        <v>1351</v>
      </c>
    </row>
    <row r="152" spans="2:3" ht="12.75" x14ac:dyDescent="0.2">
      <c r="B152" s="923" t="s">
        <v>304</v>
      </c>
      <c r="C152" s="892" t="s">
        <v>1351</v>
      </c>
    </row>
    <row r="153" spans="2:3" ht="12.75" x14ac:dyDescent="0.2">
      <c r="B153" s="923" t="s">
        <v>305</v>
      </c>
      <c r="C153" s="892" t="s">
        <v>1351</v>
      </c>
    </row>
    <row r="154" spans="2:3" ht="12.75" x14ac:dyDescent="0.2">
      <c r="B154" s="948" t="s">
        <v>1121</v>
      </c>
      <c r="C154" s="892" t="s">
        <v>1351</v>
      </c>
    </row>
    <row r="155" spans="2:3" ht="12.75" x14ac:dyDescent="0.2">
      <c r="B155" s="923" t="s">
        <v>1112</v>
      </c>
      <c r="C155" s="892" t="s">
        <v>1351</v>
      </c>
    </row>
    <row r="156" spans="2:3" ht="12.75" x14ac:dyDescent="0.2">
      <c r="B156" s="923" t="s">
        <v>306</v>
      </c>
      <c r="C156" s="892" t="s">
        <v>1354</v>
      </c>
    </row>
    <row r="157" spans="2:3" ht="12.75" x14ac:dyDescent="0.2">
      <c r="B157" s="923" t="s">
        <v>307</v>
      </c>
      <c r="C157" s="892" t="s">
        <v>1354</v>
      </c>
    </row>
    <row r="158" spans="2:3" ht="12.75" x14ac:dyDescent="0.2">
      <c r="B158" s="923" t="s">
        <v>308</v>
      </c>
      <c r="C158" s="892" t="s">
        <v>1354</v>
      </c>
    </row>
    <row r="159" spans="2:3" ht="12.75" x14ac:dyDescent="0.2">
      <c r="B159" s="923" t="s">
        <v>309</v>
      </c>
      <c r="C159" s="892" t="s">
        <v>1354</v>
      </c>
    </row>
    <row r="160" spans="2:3" ht="12.75" x14ac:dyDescent="0.2">
      <c r="B160" s="923" t="s">
        <v>310</v>
      </c>
      <c r="C160" s="892" t="s">
        <v>1354</v>
      </c>
    </row>
    <row r="161" spans="2:3" ht="12.75" x14ac:dyDescent="0.2">
      <c r="B161" s="923" t="s">
        <v>211</v>
      </c>
      <c r="C161" s="892" t="s">
        <v>1354</v>
      </c>
    </row>
    <row r="162" spans="2:3" ht="12.75" x14ac:dyDescent="0.2">
      <c r="B162" s="923" t="s">
        <v>311</v>
      </c>
      <c r="C162" s="892" t="s">
        <v>1354</v>
      </c>
    </row>
    <row r="163" spans="2:3" ht="12.75" x14ac:dyDescent="0.2">
      <c r="B163" s="923" t="s">
        <v>312</v>
      </c>
      <c r="C163" s="892" t="s">
        <v>1354</v>
      </c>
    </row>
    <row r="164" spans="2:3" ht="12.75" x14ac:dyDescent="0.2">
      <c r="B164" s="923" t="s">
        <v>313</v>
      </c>
      <c r="C164" s="892" t="s">
        <v>1354</v>
      </c>
    </row>
    <row r="165" spans="2:3" ht="12.75" x14ac:dyDescent="0.2">
      <c r="B165" s="948" t="s">
        <v>1355</v>
      </c>
      <c r="C165" s="892" t="s">
        <v>1354</v>
      </c>
    </row>
    <row r="166" spans="2:3" ht="12.75" x14ac:dyDescent="0.2">
      <c r="B166" s="923" t="s">
        <v>212</v>
      </c>
      <c r="C166" s="892" t="s">
        <v>1354</v>
      </c>
    </row>
    <row r="167" spans="2:3" ht="12.75" x14ac:dyDescent="0.2">
      <c r="B167" s="923" t="s">
        <v>314</v>
      </c>
      <c r="C167" s="892" t="s">
        <v>1354</v>
      </c>
    </row>
    <row r="168" spans="2:3" ht="12.75" x14ac:dyDescent="0.2">
      <c r="B168" s="923" t="s">
        <v>315</v>
      </c>
      <c r="C168" s="892" t="s">
        <v>1354</v>
      </c>
    </row>
    <row r="169" spans="2:3" ht="12.75" x14ac:dyDescent="0.2">
      <c r="B169" s="923" t="s">
        <v>316</v>
      </c>
      <c r="C169" s="892" t="s">
        <v>1354</v>
      </c>
    </row>
    <row r="170" spans="2:3" ht="12.75" x14ac:dyDescent="0.2">
      <c r="B170" s="923" t="s">
        <v>317</v>
      </c>
      <c r="C170" s="892" t="s">
        <v>1354</v>
      </c>
    </row>
    <row r="171" spans="2:3" ht="12.75" x14ac:dyDescent="0.2">
      <c r="B171" s="923" t="s">
        <v>213</v>
      </c>
      <c r="C171" s="892" t="s">
        <v>1354</v>
      </c>
    </row>
    <row r="172" spans="2:3" ht="12.75" x14ac:dyDescent="0.2">
      <c r="B172" s="923" t="s">
        <v>318</v>
      </c>
      <c r="C172" s="892" t="s">
        <v>1354</v>
      </c>
    </row>
    <row r="173" spans="2:3" ht="12.75" x14ac:dyDescent="0.2">
      <c r="B173" s="923" t="s">
        <v>319</v>
      </c>
      <c r="C173" s="892" t="s">
        <v>1354</v>
      </c>
    </row>
    <row r="174" spans="2:3" ht="12.75" x14ac:dyDescent="0.2">
      <c r="B174" s="923" t="s">
        <v>320</v>
      </c>
      <c r="C174" s="892" t="s">
        <v>1354</v>
      </c>
    </row>
    <row r="175" spans="2:3" ht="12.75" x14ac:dyDescent="0.2">
      <c r="B175" s="923" t="s">
        <v>321</v>
      </c>
      <c r="C175" s="892" t="s">
        <v>1354</v>
      </c>
    </row>
    <row r="176" spans="2:3" ht="12.75" x14ac:dyDescent="0.2">
      <c r="B176" s="948" t="s">
        <v>1356</v>
      </c>
      <c r="C176" s="892" t="s">
        <v>1354</v>
      </c>
    </row>
    <row r="177" spans="2:3" ht="12.75" x14ac:dyDescent="0.2">
      <c r="B177" s="923" t="s">
        <v>214</v>
      </c>
      <c r="C177" s="892" t="s">
        <v>1354</v>
      </c>
    </row>
    <row r="178" spans="2:3" ht="12.75" x14ac:dyDescent="0.2">
      <c r="B178" s="923" t="s">
        <v>995</v>
      </c>
      <c r="C178" s="921" t="s">
        <v>1354</v>
      </c>
    </row>
    <row r="179" spans="2:3" ht="12.75" x14ac:dyDescent="0.2">
      <c r="B179" s="923" t="s">
        <v>322</v>
      </c>
      <c r="C179" s="921" t="s">
        <v>1354</v>
      </c>
    </row>
    <row r="180" spans="2:3" ht="12.75" x14ac:dyDescent="0.2">
      <c r="B180" s="923" t="s">
        <v>996</v>
      </c>
      <c r="C180" s="921" t="s">
        <v>1354</v>
      </c>
    </row>
    <row r="181" spans="2:3" ht="12.75" x14ac:dyDescent="0.2">
      <c r="B181" s="948" t="s">
        <v>1357</v>
      </c>
      <c r="C181" s="921" t="s">
        <v>1354</v>
      </c>
    </row>
    <row r="182" spans="2:3" ht="12.75" x14ac:dyDescent="0.2">
      <c r="B182" s="923" t="s">
        <v>1069</v>
      </c>
      <c r="C182" s="921" t="s">
        <v>1354</v>
      </c>
    </row>
    <row r="183" spans="2:3" ht="12.75" x14ac:dyDescent="0.2">
      <c r="B183" s="923" t="s">
        <v>323</v>
      </c>
      <c r="C183" s="921" t="s">
        <v>1358</v>
      </c>
    </row>
    <row r="184" spans="2:3" ht="12.75" x14ac:dyDescent="0.2">
      <c r="B184" s="923" t="s">
        <v>324</v>
      </c>
      <c r="C184" s="921" t="s">
        <v>1358</v>
      </c>
    </row>
    <row r="185" spans="2:3" ht="12.75" x14ac:dyDescent="0.2">
      <c r="B185" s="923" t="s">
        <v>325</v>
      </c>
      <c r="C185" s="921" t="s">
        <v>1358</v>
      </c>
    </row>
    <row r="186" spans="2:3" ht="12.75" x14ac:dyDescent="0.2">
      <c r="B186" s="923" t="s">
        <v>997</v>
      </c>
      <c r="C186" s="921" t="s">
        <v>1358</v>
      </c>
    </row>
    <row r="187" spans="2:3" ht="12.75" x14ac:dyDescent="0.2">
      <c r="B187" s="923" t="s">
        <v>326</v>
      </c>
      <c r="C187" s="921" t="s">
        <v>1358</v>
      </c>
    </row>
    <row r="188" spans="2:3" ht="12.75" x14ac:dyDescent="0.2">
      <c r="B188" s="923" t="s">
        <v>327</v>
      </c>
      <c r="C188" s="921" t="s">
        <v>1358</v>
      </c>
    </row>
    <row r="189" spans="2:3" ht="12.75" x14ac:dyDescent="0.2">
      <c r="B189" s="923" t="s">
        <v>328</v>
      </c>
      <c r="C189" s="921" t="s">
        <v>1358</v>
      </c>
    </row>
    <row r="190" spans="2:3" ht="12.75" x14ac:dyDescent="0.2">
      <c r="B190" s="923" t="s">
        <v>208</v>
      </c>
      <c r="C190" s="921" t="s">
        <v>1358</v>
      </c>
    </row>
    <row r="191" spans="2:3" ht="12.75" x14ac:dyDescent="0.2">
      <c r="B191" s="923" t="s">
        <v>998</v>
      </c>
      <c r="C191" s="921" t="s">
        <v>1358</v>
      </c>
    </row>
    <row r="192" spans="2:3" ht="12.75" x14ac:dyDescent="0.2">
      <c r="B192" s="923" t="s">
        <v>1074</v>
      </c>
      <c r="C192" s="921" t="s">
        <v>1358</v>
      </c>
    </row>
    <row r="193" spans="2:3" ht="12.75" x14ac:dyDescent="0.2">
      <c r="B193" s="923" t="s">
        <v>329</v>
      </c>
      <c r="C193" s="921" t="s">
        <v>1358</v>
      </c>
    </row>
    <row r="194" spans="2:3" ht="12.75" x14ac:dyDescent="0.2">
      <c r="B194" s="923" t="s">
        <v>330</v>
      </c>
      <c r="C194" s="921" t="s">
        <v>1358</v>
      </c>
    </row>
    <row r="195" spans="2:3" ht="12.75" x14ac:dyDescent="0.2">
      <c r="B195" s="923" t="s">
        <v>1075</v>
      </c>
      <c r="C195" s="921" t="s">
        <v>1358</v>
      </c>
    </row>
    <row r="196" spans="2:3" ht="12.75" x14ac:dyDescent="0.2">
      <c r="B196" s="923" t="s">
        <v>331</v>
      </c>
      <c r="C196" s="921" t="s">
        <v>1358</v>
      </c>
    </row>
    <row r="197" spans="2:3" ht="12.75" x14ac:dyDescent="0.2">
      <c r="B197" s="923" t="s">
        <v>209</v>
      </c>
      <c r="C197" s="921" t="s">
        <v>1358</v>
      </c>
    </row>
    <row r="198" spans="2:3" ht="12.75" x14ac:dyDescent="0.2">
      <c r="B198" s="923" t="s">
        <v>332</v>
      </c>
      <c r="C198" s="921" t="s">
        <v>1358</v>
      </c>
    </row>
    <row r="199" spans="2:3" ht="12.75" x14ac:dyDescent="0.2">
      <c r="B199" s="923" t="s">
        <v>333</v>
      </c>
      <c r="C199" s="921" t="s">
        <v>1358</v>
      </c>
    </row>
    <row r="200" spans="2:3" ht="12.75" x14ac:dyDescent="0.2">
      <c r="B200" s="923" t="s">
        <v>334</v>
      </c>
      <c r="C200" s="921" t="s">
        <v>1358</v>
      </c>
    </row>
    <row r="201" spans="2:3" ht="12.75" x14ac:dyDescent="0.2">
      <c r="B201" s="948" t="s">
        <v>1122</v>
      </c>
      <c r="C201" s="921" t="s">
        <v>1358</v>
      </c>
    </row>
    <row r="202" spans="2:3" ht="12.75" x14ac:dyDescent="0.2">
      <c r="B202" s="923" t="s">
        <v>210</v>
      </c>
      <c r="C202" s="921" t="s">
        <v>1358</v>
      </c>
    </row>
    <row r="203" spans="2:3" ht="12.75" x14ac:dyDescent="0.2">
      <c r="B203" s="923" t="s">
        <v>999</v>
      </c>
      <c r="C203" s="921" t="s">
        <v>1359</v>
      </c>
    </row>
    <row r="204" spans="2:3" ht="12.75" x14ac:dyDescent="0.2">
      <c r="B204" s="923" t="s">
        <v>391</v>
      </c>
      <c r="C204" s="921" t="s">
        <v>1359</v>
      </c>
    </row>
    <row r="205" spans="2:3" ht="12.75" x14ac:dyDescent="0.2">
      <c r="B205" s="923" t="s">
        <v>392</v>
      </c>
      <c r="C205" s="921" t="s">
        <v>1359</v>
      </c>
    </row>
    <row r="206" spans="2:3" ht="12.75" x14ac:dyDescent="0.2">
      <c r="B206" s="923" t="s">
        <v>990</v>
      </c>
      <c r="C206" s="921" t="s">
        <v>1359</v>
      </c>
    </row>
    <row r="207" spans="2:3" ht="12.75" x14ac:dyDescent="0.2">
      <c r="B207" s="923" t="s">
        <v>335</v>
      </c>
      <c r="C207" s="921" t="s">
        <v>1359</v>
      </c>
    </row>
    <row r="208" spans="2:3" ht="12.75" x14ac:dyDescent="0.2">
      <c r="B208" s="923" t="s">
        <v>336</v>
      </c>
      <c r="C208" s="921" t="s">
        <v>1359</v>
      </c>
    </row>
    <row r="209" spans="2:3" ht="12.75" x14ac:dyDescent="0.2">
      <c r="B209" s="923" t="s">
        <v>337</v>
      </c>
      <c r="C209" s="921" t="s">
        <v>1359</v>
      </c>
    </row>
    <row r="210" spans="2:3" ht="12.75" x14ac:dyDescent="0.2">
      <c r="B210" s="923" t="s">
        <v>338</v>
      </c>
      <c r="C210" s="921" t="s">
        <v>1359</v>
      </c>
    </row>
    <row r="211" spans="2:3" ht="12.75" x14ac:dyDescent="0.2">
      <c r="B211" s="923" t="s">
        <v>339</v>
      </c>
      <c r="C211" s="921" t="s">
        <v>1359</v>
      </c>
    </row>
    <row r="212" spans="2:3" ht="12.75" x14ac:dyDescent="0.2">
      <c r="B212" s="923" t="s">
        <v>340</v>
      </c>
      <c r="C212" s="921" t="s">
        <v>1359</v>
      </c>
    </row>
    <row r="213" spans="2:3" ht="12.75" x14ac:dyDescent="0.2">
      <c r="B213" s="923" t="s">
        <v>223</v>
      </c>
      <c r="C213" s="921" t="s">
        <v>1359</v>
      </c>
    </row>
    <row r="214" spans="2:3" ht="12.75" x14ac:dyDescent="0.2">
      <c r="B214" s="923" t="s">
        <v>341</v>
      </c>
      <c r="C214" s="921" t="s">
        <v>1359</v>
      </c>
    </row>
    <row r="215" spans="2:3" ht="12.75" x14ac:dyDescent="0.2">
      <c r="B215" s="923" t="s">
        <v>342</v>
      </c>
      <c r="C215" s="921" t="s">
        <v>1359</v>
      </c>
    </row>
    <row r="216" spans="2:3" ht="12.75" x14ac:dyDescent="0.2">
      <c r="B216" s="923" t="s">
        <v>343</v>
      </c>
      <c r="C216" s="921" t="s">
        <v>1359</v>
      </c>
    </row>
    <row r="217" spans="2:3" ht="12.75" x14ac:dyDescent="0.2">
      <c r="B217" s="923" t="s">
        <v>378</v>
      </c>
      <c r="C217" s="921" t="s">
        <v>1359</v>
      </c>
    </row>
    <row r="218" spans="2:3" ht="12.75" x14ac:dyDescent="0.2">
      <c r="B218" s="923" t="s">
        <v>379</v>
      </c>
      <c r="C218" s="921" t="s">
        <v>1359</v>
      </c>
    </row>
    <row r="219" spans="2:3" ht="12.75" x14ac:dyDescent="0.2">
      <c r="B219" s="923" t="s">
        <v>380</v>
      </c>
      <c r="C219" s="921" t="s">
        <v>1359</v>
      </c>
    </row>
    <row r="220" spans="2:3" ht="12.75" x14ac:dyDescent="0.2">
      <c r="B220" s="923" t="s">
        <v>381</v>
      </c>
      <c r="C220" s="921" t="s">
        <v>1359</v>
      </c>
    </row>
    <row r="221" spans="2:3" ht="12.75" x14ac:dyDescent="0.2">
      <c r="B221" s="923" t="s">
        <v>382</v>
      </c>
      <c r="C221" s="921" t="s">
        <v>1359</v>
      </c>
    </row>
    <row r="222" spans="2:3" ht="12.75" x14ac:dyDescent="0.2">
      <c r="B222" s="923" t="s">
        <v>1070</v>
      </c>
      <c r="C222" s="921" t="s">
        <v>1359</v>
      </c>
    </row>
    <row r="223" spans="2:3" ht="12.75" x14ac:dyDescent="0.2">
      <c r="B223" s="923" t="s">
        <v>383</v>
      </c>
      <c r="C223" s="921" t="s">
        <v>1359</v>
      </c>
    </row>
    <row r="224" spans="2:3" ht="12.75" x14ac:dyDescent="0.2">
      <c r="B224" s="923" t="s">
        <v>384</v>
      </c>
      <c r="C224" s="921" t="s">
        <v>1359</v>
      </c>
    </row>
    <row r="225" spans="2:3" ht="12.75" x14ac:dyDescent="0.2">
      <c r="B225" s="923" t="s">
        <v>385</v>
      </c>
      <c r="C225" s="921" t="s">
        <v>1359</v>
      </c>
    </row>
    <row r="226" spans="2:3" ht="12.75" x14ac:dyDescent="0.2">
      <c r="B226" s="923" t="s">
        <v>386</v>
      </c>
      <c r="C226" s="921" t="s">
        <v>1359</v>
      </c>
    </row>
    <row r="227" spans="2:3" ht="12.75" x14ac:dyDescent="0.2">
      <c r="B227" s="948" t="s">
        <v>1360</v>
      </c>
      <c r="C227" s="921" t="s">
        <v>1359</v>
      </c>
    </row>
    <row r="228" spans="2:3" ht="12.75" x14ac:dyDescent="0.2">
      <c r="B228" s="923" t="s">
        <v>1113</v>
      </c>
      <c r="C228" s="921" t="s">
        <v>1359</v>
      </c>
    </row>
    <row r="229" spans="2:3" ht="12.75" x14ac:dyDescent="0.2">
      <c r="B229" s="923" t="s">
        <v>387</v>
      </c>
      <c r="C229" s="921" t="s">
        <v>1359</v>
      </c>
    </row>
    <row r="230" spans="2:3" ht="12.75" x14ac:dyDescent="0.2">
      <c r="B230" s="923" t="s">
        <v>388</v>
      </c>
      <c r="C230" s="921" t="s">
        <v>1359</v>
      </c>
    </row>
    <row r="231" spans="2:3" ht="12.75" x14ac:dyDescent="0.2">
      <c r="B231" s="923" t="s">
        <v>389</v>
      </c>
      <c r="C231" s="921" t="s">
        <v>1359</v>
      </c>
    </row>
    <row r="232" spans="2:3" ht="12.75" x14ac:dyDescent="0.2">
      <c r="B232" s="923" t="s">
        <v>390</v>
      </c>
      <c r="C232" s="921" t="s">
        <v>1359</v>
      </c>
    </row>
    <row r="233" spans="2:3" ht="12.75" x14ac:dyDescent="0.2">
      <c r="B233" s="923" t="s">
        <v>224</v>
      </c>
      <c r="C233" s="921" t="s">
        <v>1359</v>
      </c>
    </row>
    <row r="234" spans="2:3" ht="12.75" x14ac:dyDescent="0.2">
      <c r="B234" s="923" t="s">
        <v>393</v>
      </c>
      <c r="C234" s="921" t="s">
        <v>1361</v>
      </c>
    </row>
    <row r="235" spans="2:3" ht="12.75" x14ac:dyDescent="0.2">
      <c r="B235" s="923" t="s">
        <v>394</v>
      </c>
      <c r="C235" s="921" t="s">
        <v>1361</v>
      </c>
    </row>
    <row r="236" spans="2:3" ht="12.75" x14ac:dyDescent="0.2">
      <c r="B236" s="923" t="s">
        <v>395</v>
      </c>
      <c r="C236" s="921" t="s">
        <v>1361</v>
      </c>
    </row>
    <row r="237" spans="2:3" ht="12.75" x14ac:dyDescent="0.2">
      <c r="B237" s="923" t="s">
        <v>396</v>
      </c>
      <c r="C237" s="921" t="s">
        <v>1361</v>
      </c>
    </row>
    <row r="238" spans="2:3" ht="12.75" x14ac:dyDescent="0.2">
      <c r="B238" s="923" t="s">
        <v>397</v>
      </c>
      <c r="C238" s="921" t="s">
        <v>1361</v>
      </c>
    </row>
    <row r="239" spans="2:3" ht="12.75" x14ac:dyDescent="0.2">
      <c r="B239" s="923" t="s">
        <v>215</v>
      </c>
      <c r="C239" s="921" t="s">
        <v>1361</v>
      </c>
    </row>
    <row r="240" spans="2:3" ht="12.75" x14ac:dyDescent="0.2">
      <c r="B240" s="923" t="s">
        <v>398</v>
      </c>
      <c r="C240" s="921" t="s">
        <v>1361</v>
      </c>
    </row>
    <row r="241" spans="2:3" ht="12.75" x14ac:dyDescent="0.2">
      <c r="B241" s="923" t="s">
        <v>399</v>
      </c>
      <c r="C241" s="921" t="s">
        <v>1361</v>
      </c>
    </row>
    <row r="242" spans="2:3" ht="12.75" x14ac:dyDescent="0.2">
      <c r="B242" s="923" t="s">
        <v>400</v>
      </c>
      <c r="C242" s="921" t="s">
        <v>1361</v>
      </c>
    </row>
    <row r="243" spans="2:3" ht="12.75" x14ac:dyDescent="0.2">
      <c r="B243" s="923" t="s">
        <v>401</v>
      </c>
      <c r="C243" s="921" t="s">
        <v>1361</v>
      </c>
    </row>
    <row r="244" spans="2:3" ht="12.75" x14ac:dyDescent="0.2">
      <c r="B244" s="923" t="s">
        <v>402</v>
      </c>
      <c r="C244" s="921" t="s">
        <v>1361</v>
      </c>
    </row>
    <row r="245" spans="2:3" ht="12.75" x14ac:dyDescent="0.2">
      <c r="B245" s="923" t="s">
        <v>216</v>
      </c>
      <c r="C245" s="921" t="s">
        <v>1361</v>
      </c>
    </row>
    <row r="246" spans="2:3" ht="12.75" x14ac:dyDescent="0.2">
      <c r="B246" s="923" t="s">
        <v>403</v>
      </c>
      <c r="C246" s="921" t="s">
        <v>1361</v>
      </c>
    </row>
    <row r="247" spans="2:3" ht="12.75" x14ac:dyDescent="0.2">
      <c r="B247" s="923" t="s">
        <v>404</v>
      </c>
      <c r="C247" s="921" t="s">
        <v>1361</v>
      </c>
    </row>
    <row r="248" spans="2:3" ht="12.75" x14ac:dyDescent="0.2">
      <c r="B248" s="923" t="s">
        <v>405</v>
      </c>
      <c r="C248" s="921" t="s">
        <v>1361</v>
      </c>
    </row>
    <row r="249" spans="2:3" ht="12.75" x14ac:dyDescent="0.2">
      <c r="B249" s="923" t="s">
        <v>406</v>
      </c>
      <c r="C249" s="921" t="s">
        <v>1361</v>
      </c>
    </row>
    <row r="250" spans="2:3" ht="12.75" x14ac:dyDescent="0.2">
      <c r="B250" s="923" t="s">
        <v>1114</v>
      </c>
      <c r="C250" s="921" t="s">
        <v>1361</v>
      </c>
    </row>
    <row r="251" spans="2:3" ht="12.75" x14ac:dyDescent="0.2">
      <c r="B251" s="923" t="s">
        <v>217</v>
      </c>
      <c r="C251" s="921" t="s">
        <v>1361</v>
      </c>
    </row>
    <row r="252" spans="2:3" ht="12.75" x14ac:dyDescent="0.2">
      <c r="B252" s="923" t="s">
        <v>407</v>
      </c>
      <c r="C252" s="921" t="s">
        <v>1361</v>
      </c>
    </row>
    <row r="253" spans="2:3" ht="12.75" x14ac:dyDescent="0.2">
      <c r="B253" s="923" t="s">
        <v>408</v>
      </c>
      <c r="C253" s="921" t="s">
        <v>1361</v>
      </c>
    </row>
    <row r="254" spans="2:3" ht="12.75" x14ac:dyDescent="0.2">
      <c r="B254" s="948" t="s">
        <v>1362</v>
      </c>
      <c r="C254" s="921" t="s">
        <v>1361</v>
      </c>
    </row>
    <row r="255" spans="2:3" ht="12.75" x14ac:dyDescent="0.2">
      <c r="B255" s="923" t="s">
        <v>218</v>
      </c>
      <c r="C255" s="921" t="s">
        <v>1361</v>
      </c>
    </row>
    <row r="256" spans="2:3" ht="12.75" x14ac:dyDescent="0.2">
      <c r="B256" s="923" t="s">
        <v>1082</v>
      </c>
      <c r="C256" s="921" t="s">
        <v>1363</v>
      </c>
    </row>
    <row r="257" spans="2:3" ht="12.75" x14ac:dyDescent="0.2">
      <c r="B257" s="923" t="s">
        <v>409</v>
      </c>
      <c r="C257" s="921" t="s">
        <v>1363</v>
      </c>
    </row>
    <row r="258" spans="2:3" ht="12.75" x14ac:dyDescent="0.2">
      <c r="B258" s="923" t="s">
        <v>410</v>
      </c>
      <c r="C258" s="921" t="s">
        <v>1363</v>
      </c>
    </row>
    <row r="259" spans="2:3" ht="12.75" x14ac:dyDescent="0.2">
      <c r="B259" s="923" t="s">
        <v>411</v>
      </c>
      <c r="C259" s="921" t="s">
        <v>1363</v>
      </c>
    </row>
    <row r="260" spans="2:3" ht="12.75" x14ac:dyDescent="0.2">
      <c r="B260" s="923" t="s">
        <v>412</v>
      </c>
      <c r="C260" s="921" t="s">
        <v>1363</v>
      </c>
    </row>
    <row r="261" spans="2:3" ht="12.75" x14ac:dyDescent="0.2">
      <c r="B261" s="923" t="s">
        <v>413</v>
      </c>
      <c r="C261" s="921" t="s">
        <v>1363</v>
      </c>
    </row>
    <row r="262" spans="2:3" ht="12.75" x14ac:dyDescent="0.2">
      <c r="B262" s="923" t="s">
        <v>191</v>
      </c>
      <c r="C262" s="921" t="s">
        <v>1363</v>
      </c>
    </row>
    <row r="263" spans="2:3" ht="12.75" x14ac:dyDescent="0.2">
      <c r="B263" s="923" t="s">
        <v>414</v>
      </c>
      <c r="C263" s="921" t="s">
        <v>1363</v>
      </c>
    </row>
    <row r="264" spans="2:3" ht="12.75" x14ac:dyDescent="0.2">
      <c r="B264" s="923" t="s">
        <v>415</v>
      </c>
      <c r="C264" s="921" t="s">
        <v>1363</v>
      </c>
    </row>
    <row r="265" spans="2:3" ht="12.75" x14ac:dyDescent="0.2">
      <c r="B265" s="923" t="s">
        <v>416</v>
      </c>
      <c r="C265" s="921" t="s">
        <v>1363</v>
      </c>
    </row>
    <row r="266" spans="2:3" ht="12.75" x14ac:dyDescent="0.2">
      <c r="B266" s="923" t="s">
        <v>417</v>
      </c>
      <c r="C266" s="921" t="s">
        <v>1363</v>
      </c>
    </row>
    <row r="267" spans="2:3" ht="12.75" x14ac:dyDescent="0.2">
      <c r="B267" s="923" t="s">
        <v>1000</v>
      </c>
      <c r="C267" s="921" t="s">
        <v>1363</v>
      </c>
    </row>
    <row r="268" spans="2:3" ht="12.75" x14ac:dyDescent="0.2">
      <c r="B268" s="923" t="s">
        <v>1068</v>
      </c>
      <c r="C268" s="921" t="s">
        <v>1363</v>
      </c>
    </row>
    <row r="269" spans="2:3" ht="12.75" x14ac:dyDescent="0.2">
      <c r="B269" s="923" t="s">
        <v>418</v>
      </c>
      <c r="C269" s="921" t="s">
        <v>1363</v>
      </c>
    </row>
    <row r="270" spans="2:3" ht="12.75" x14ac:dyDescent="0.2">
      <c r="B270" s="923" t="s">
        <v>419</v>
      </c>
      <c r="C270" s="921" t="s">
        <v>1363</v>
      </c>
    </row>
    <row r="271" spans="2:3" ht="12.75" x14ac:dyDescent="0.2">
      <c r="B271" s="923" t="s">
        <v>420</v>
      </c>
      <c r="C271" s="921" t="s">
        <v>1363</v>
      </c>
    </row>
    <row r="272" spans="2:3" ht="12.75" x14ac:dyDescent="0.2">
      <c r="B272" s="923" t="s">
        <v>421</v>
      </c>
      <c r="C272" s="921" t="s">
        <v>1363</v>
      </c>
    </row>
    <row r="273" spans="2:3" ht="12.75" x14ac:dyDescent="0.2">
      <c r="B273" s="923" t="s">
        <v>207</v>
      </c>
      <c r="C273" s="921" t="s">
        <v>1363</v>
      </c>
    </row>
    <row r="274" spans="2:3" ht="12.75" x14ac:dyDescent="0.2">
      <c r="B274" s="923" t="s">
        <v>422</v>
      </c>
      <c r="C274" s="921" t="s">
        <v>1363</v>
      </c>
    </row>
    <row r="275" spans="2:3" ht="12.75" x14ac:dyDescent="0.2">
      <c r="B275" s="923" t="s">
        <v>423</v>
      </c>
      <c r="C275" s="921" t="s">
        <v>1363</v>
      </c>
    </row>
    <row r="276" spans="2:3" ht="12.75" x14ac:dyDescent="0.2">
      <c r="B276" s="923" t="s">
        <v>424</v>
      </c>
      <c r="C276" s="921" t="s">
        <v>1363</v>
      </c>
    </row>
    <row r="277" spans="2:3" ht="12.75" x14ac:dyDescent="0.2">
      <c r="B277" s="923" t="s">
        <v>425</v>
      </c>
      <c r="C277" s="921" t="s">
        <v>1363</v>
      </c>
    </row>
    <row r="278" spans="2:3" ht="12.75" x14ac:dyDescent="0.2">
      <c r="B278" s="923" t="s">
        <v>426</v>
      </c>
      <c r="C278" s="921" t="s">
        <v>1363</v>
      </c>
    </row>
    <row r="279" spans="2:3" ht="12.75" x14ac:dyDescent="0.2">
      <c r="B279" s="923" t="s">
        <v>427</v>
      </c>
      <c r="C279" s="921" t="s">
        <v>1363</v>
      </c>
    </row>
    <row r="280" spans="2:3" ht="12.75" x14ac:dyDescent="0.2">
      <c r="B280" s="923" t="s">
        <v>428</v>
      </c>
      <c r="C280" s="921" t="s">
        <v>1363</v>
      </c>
    </row>
    <row r="281" spans="2:3" ht="12.75" x14ac:dyDescent="0.2">
      <c r="B281" s="923" t="s">
        <v>1364</v>
      </c>
      <c r="C281" s="921" t="s">
        <v>1363</v>
      </c>
    </row>
    <row r="282" spans="2:3" ht="12.75" x14ac:dyDescent="0.2">
      <c r="B282" s="923" t="s">
        <v>429</v>
      </c>
      <c r="C282" s="921" t="s">
        <v>1363</v>
      </c>
    </row>
    <row r="283" spans="2:3" ht="12.75" x14ac:dyDescent="0.2">
      <c r="B283" s="923" t="s">
        <v>430</v>
      </c>
      <c r="C283" s="921" t="s">
        <v>1363</v>
      </c>
    </row>
    <row r="284" spans="2:3" ht="12.75" x14ac:dyDescent="0.2">
      <c r="B284" s="923" t="s">
        <v>431</v>
      </c>
      <c r="C284" s="921" t="s">
        <v>1363</v>
      </c>
    </row>
    <row r="285" spans="2:3" ht="12.75" x14ac:dyDescent="0.2">
      <c r="B285" s="923" t="s">
        <v>222</v>
      </c>
      <c r="C285" s="921" t="s">
        <v>1363</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1054</v>
      </c>
      <c r="B1" s="809"/>
      <c r="C1" s="808" t="s">
        <v>1053</v>
      </c>
      <c r="E1" s="807" t="s">
        <v>1052</v>
      </c>
    </row>
    <row r="2" spans="1:5" x14ac:dyDescent="0.2">
      <c r="A2" s="797" t="str">
        <f>B2&amp;" - "&amp;C2</f>
        <v>Vote 1 - Municipal Manager</v>
      </c>
      <c r="B2" s="805" t="s">
        <v>827</v>
      </c>
      <c r="C2" s="803" t="s">
        <v>1378</v>
      </c>
      <c r="E2" s="806"/>
    </row>
    <row r="3" spans="1:5" x14ac:dyDescent="0.2">
      <c r="A3" s="797" t="str">
        <f>B13&amp;" - "&amp; C13</f>
        <v>Vote 2 - Planning &amp; Economic Development</v>
      </c>
      <c r="B3" s="802">
        <v>1.1000000000000001</v>
      </c>
      <c r="C3" s="801" t="s">
        <v>1379</v>
      </c>
      <c r="D3" s="797" t="str">
        <f t="shared" ref="D3:D12" si="0">CONCATENATE(B3, " - ", C3)</f>
        <v>1.1 - Administration Municipal Manager</v>
      </c>
      <c r="E3" s="800" t="s">
        <v>1426</v>
      </c>
    </row>
    <row r="4" spans="1:5" x14ac:dyDescent="0.2">
      <c r="A4" s="797" t="str">
        <f>B24&amp;" - "&amp;C24</f>
        <v>Vote 3 - Financial Services</v>
      </c>
      <c r="B4" s="802">
        <v>1.2</v>
      </c>
      <c r="C4" s="801" t="s">
        <v>1380</v>
      </c>
      <c r="D4" s="797" t="str">
        <f t="shared" si="0"/>
        <v>1.2 - Internal Audit</v>
      </c>
      <c r="E4" s="800" t="s">
        <v>1427</v>
      </c>
    </row>
    <row r="5" spans="1:5" x14ac:dyDescent="0.2">
      <c r="A5" s="797" t="str">
        <f>B35&amp;" - "&amp;C35</f>
        <v>Vote 4 - Corporate Services</v>
      </c>
      <c r="B5" s="802">
        <v>1.3</v>
      </c>
      <c r="C5" s="801" t="s">
        <v>1152</v>
      </c>
      <c r="D5" s="797" t="str">
        <f t="shared" si="0"/>
        <v>1.3 - Disaster Management</v>
      </c>
      <c r="E5" s="800" t="s">
        <v>1428</v>
      </c>
    </row>
    <row r="6" spans="1:5" x14ac:dyDescent="0.2">
      <c r="A6" s="797" t="str">
        <f>B46&amp;" - "&amp;C46</f>
        <v>Vote 5 - Community Services</v>
      </c>
      <c r="B6" s="802">
        <v>1.4</v>
      </c>
      <c r="C6" s="801" t="s">
        <v>1381</v>
      </c>
      <c r="D6" s="797" t="str">
        <f t="shared" si="0"/>
        <v>1.4 - Strategic Support</v>
      </c>
      <c r="E6" s="800" t="s">
        <v>1429</v>
      </c>
    </row>
    <row r="7" spans="1:5" x14ac:dyDescent="0.2">
      <c r="A7" s="797" t="str">
        <f>B57&amp;" - "&amp;C57</f>
        <v>Vote 6 - Community Services</v>
      </c>
      <c r="B7" s="802">
        <v>1.5</v>
      </c>
      <c r="C7" s="801" t="s">
        <v>1139</v>
      </c>
      <c r="D7" s="797" t="str">
        <f t="shared" si="0"/>
        <v>1.5 - Risk Management</v>
      </c>
      <c r="E7" s="800" t="s">
        <v>1430</v>
      </c>
    </row>
    <row r="8" spans="1:5" x14ac:dyDescent="0.2">
      <c r="A8" s="797" t="str">
        <f>B68&amp;" - "&amp;C68</f>
        <v>Vote 7 - Electrical Engineering Services</v>
      </c>
      <c r="B8" s="802">
        <v>1.6</v>
      </c>
      <c r="C8" s="801" t="s">
        <v>1137</v>
      </c>
      <c r="D8" s="797" t="str">
        <f t="shared" si="0"/>
        <v>1.6 - Legal Services</v>
      </c>
      <c r="E8" s="800" t="s">
        <v>1431</v>
      </c>
    </row>
    <row r="9" spans="1:5" x14ac:dyDescent="0.2">
      <c r="A9" s="797" t="str">
        <f>B79&amp;" - "&amp;C79</f>
        <v>Vote 8 - Engineering Services</v>
      </c>
      <c r="B9" s="802">
        <v>1.7</v>
      </c>
      <c r="C9" s="801" t="s">
        <v>1401</v>
      </c>
      <c r="D9" s="797" t="str">
        <f t="shared" si="0"/>
        <v>1.7 - Council Expenditure</v>
      </c>
      <c r="E9" s="800" t="s">
        <v>1557</v>
      </c>
    </row>
    <row r="10" spans="1:5" x14ac:dyDescent="0.2">
      <c r="A10" s="797" t="str">
        <f>B90&amp;" - "&amp;C90</f>
        <v>Vote 9 - GTEDA</v>
      </c>
      <c r="B10" s="802">
        <v>1.8</v>
      </c>
      <c r="C10" s="801" t="s">
        <v>1024</v>
      </c>
      <c r="D10" s="797" t="str">
        <f t="shared" si="0"/>
        <v>1.8 - [Name of sub-vote]</v>
      </c>
      <c r="E10" s="800"/>
    </row>
    <row r="11" spans="1:5" x14ac:dyDescent="0.2">
      <c r="A11" s="797" t="str">
        <f>B101&amp;" - "&amp;C101</f>
        <v>Vote 10 - [NAME OF VOTE 10]</v>
      </c>
      <c r="B11" s="802">
        <v>1.9</v>
      </c>
      <c r="C11" s="801" t="s">
        <v>1024</v>
      </c>
      <c r="D11" s="797" t="str">
        <f t="shared" si="0"/>
        <v>1.9 - [Name of sub-vote]</v>
      </c>
      <c r="E11" s="800"/>
    </row>
    <row r="12" spans="1:5" x14ac:dyDescent="0.2">
      <c r="A12" s="797" t="str">
        <f>B112&amp;" - "&amp;C112</f>
        <v>Vote 11 - [NAME OF VOTE 11]</v>
      </c>
      <c r="B12" s="802" t="s">
        <v>1051</v>
      </c>
      <c r="C12" s="801" t="s">
        <v>1024</v>
      </c>
      <c r="D12" s="797" t="str">
        <f t="shared" si="0"/>
        <v>1.10 - [Name of sub-vote]</v>
      </c>
      <c r="E12" s="800"/>
    </row>
    <row r="13" spans="1:5" x14ac:dyDescent="0.2">
      <c r="A13" s="797" t="str">
        <f>B123&amp;" - "&amp;C123</f>
        <v>Vote 12 - [NAME OF VOTE 12]</v>
      </c>
      <c r="B13" s="805" t="s">
        <v>826</v>
      </c>
      <c r="C13" s="803" t="s">
        <v>1382</v>
      </c>
      <c r="E13" s="806"/>
    </row>
    <row r="14" spans="1:5" x14ac:dyDescent="0.2">
      <c r="A14" s="797" t="str">
        <f>B134&amp;" - "&amp;C134</f>
        <v>Vote 13 - [NAME OF VOTE 13]</v>
      </c>
      <c r="B14" s="802">
        <v>2.1</v>
      </c>
      <c r="C14" s="801" t="s">
        <v>1383</v>
      </c>
      <c r="D14" s="797" t="str">
        <f t="shared" ref="D14:D23" si="1">CONCATENATE(B14, " - ", C14)</f>
        <v>2.1 - Administration Strategy &amp; Development</v>
      </c>
      <c r="E14" s="800" t="s">
        <v>1515</v>
      </c>
    </row>
    <row r="15" spans="1:5" x14ac:dyDescent="0.2">
      <c r="A15" s="797" t="str">
        <f>B145&amp;" - "&amp;C145</f>
        <v>Vote 14 - [NAME OF VOTE 14]</v>
      </c>
      <c r="B15" s="802">
        <v>2.2000000000000002</v>
      </c>
      <c r="C15" s="801" t="s">
        <v>1384</v>
      </c>
      <c r="D15" s="797" t="str">
        <f t="shared" si="1"/>
        <v>2.2 - Local Economic Development</v>
      </c>
      <c r="E15" s="800" t="s">
        <v>1516</v>
      </c>
    </row>
    <row r="16" spans="1:5" x14ac:dyDescent="0.2">
      <c r="A16" s="797" t="str">
        <f>B156&amp;" - "&amp;C156</f>
        <v>Vote 15 - [NAME OF VOTE 15]</v>
      </c>
      <c r="B16" s="802">
        <v>2.2999999999999998</v>
      </c>
      <c r="C16" s="801" t="s">
        <v>1385</v>
      </c>
      <c r="D16" s="797" t="str">
        <f t="shared" si="1"/>
        <v>2.3 - Town &amp; Regional Planning</v>
      </c>
      <c r="E16" s="800" t="s">
        <v>1517</v>
      </c>
    </row>
    <row r="17" spans="1:5" x14ac:dyDescent="0.2">
      <c r="B17" s="802">
        <v>2.4</v>
      </c>
      <c r="C17" s="801" t="s">
        <v>1386</v>
      </c>
      <c r="D17" s="797" t="str">
        <f t="shared" si="1"/>
        <v>2.4 - Housing Administration</v>
      </c>
      <c r="E17" s="800" t="s">
        <v>1518</v>
      </c>
    </row>
    <row r="18" spans="1:5" x14ac:dyDescent="0.2">
      <c r="B18" s="802">
        <v>2.5</v>
      </c>
      <c r="C18" s="801" t="s">
        <v>1387</v>
      </c>
      <c r="D18" s="797" t="str">
        <f t="shared" si="1"/>
        <v>2.5 - SATELITE OFFICE: NKOWANKOWA</v>
      </c>
      <c r="E18" s="800" t="s">
        <v>1519</v>
      </c>
    </row>
    <row r="19" spans="1:5" x14ac:dyDescent="0.2">
      <c r="B19" s="802">
        <v>2.6</v>
      </c>
      <c r="C19" s="801" t="s">
        <v>1388</v>
      </c>
      <c r="D19" s="797" t="str">
        <f t="shared" si="1"/>
        <v>2.6 - SATELITE OFFICE: LENYENYE</v>
      </c>
      <c r="E19" s="800" t="s">
        <v>1520</v>
      </c>
    </row>
    <row r="20" spans="1:5" x14ac:dyDescent="0.2">
      <c r="B20" s="802">
        <v>2.7</v>
      </c>
      <c r="C20" s="801" t="s">
        <v>1389</v>
      </c>
      <c r="D20" s="797" t="str">
        <f t="shared" si="1"/>
        <v>2.7 - SATELITE OFFICE: LETSITELE</v>
      </c>
      <c r="E20" s="800" t="s">
        <v>1521</v>
      </c>
    </row>
    <row r="21" spans="1:5" x14ac:dyDescent="0.2">
      <c r="A21" s="806"/>
      <c r="B21" s="802">
        <v>2.8</v>
      </c>
      <c r="C21" s="801" t="s">
        <v>1024</v>
      </c>
      <c r="D21" s="797" t="str">
        <f t="shared" si="1"/>
        <v>2.8 - [Name of sub-vote]</v>
      </c>
      <c r="E21" s="800"/>
    </row>
    <row r="22" spans="1:5" x14ac:dyDescent="0.2">
      <c r="B22" s="802">
        <v>2.9</v>
      </c>
      <c r="C22" s="801" t="s">
        <v>1024</v>
      </c>
      <c r="D22" s="797" t="str">
        <f t="shared" si="1"/>
        <v>2.9 - [Name of sub-vote]</v>
      </c>
      <c r="E22" s="800"/>
    </row>
    <row r="23" spans="1:5" x14ac:dyDescent="0.2">
      <c r="B23" s="802" t="s">
        <v>1050</v>
      </c>
      <c r="C23" s="801" t="s">
        <v>1024</v>
      </c>
      <c r="D23" s="797" t="str">
        <f t="shared" si="1"/>
        <v>2.10 - [Name of sub-vote]</v>
      </c>
      <c r="E23" s="800"/>
    </row>
    <row r="24" spans="1:5" x14ac:dyDescent="0.2">
      <c r="B24" s="805" t="s">
        <v>825</v>
      </c>
      <c r="C24" s="803" t="s">
        <v>1390</v>
      </c>
      <c r="E24" s="800"/>
    </row>
    <row r="25" spans="1:5" x14ac:dyDescent="0.2">
      <c r="B25" s="802">
        <v>3.1</v>
      </c>
      <c r="C25" s="801" t="s">
        <v>1391</v>
      </c>
      <c r="D25" s="797" t="str">
        <f t="shared" ref="D25:D34" si="2">CONCATENATE(B25, " - ", C25)</f>
        <v>3.1 - Administration Finance</v>
      </c>
      <c r="E25" s="800" t="s">
        <v>1522</v>
      </c>
    </row>
    <row r="26" spans="1:5" x14ac:dyDescent="0.2">
      <c r="B26" s="802">
        <v>3.2</v>
      </c>
      <c r="C26" s="801" t="s">
        <v>1392</v>
      </c>
      <c r="D26" s="797" t="str">
        <f t="shared" si="2"/>
        <v>3.2 - Budget office</v>
      </c>
      <c r="E26" s="800" t="s">
        <v>1523</v>
      </c>
    </row>
    <row r="27" spans="1:5" x14ac:dyDescent="0.2">
      <c r="B27" s="802">
        <v>3.3</v>
      </c>
      <c r="C27" s="801" t="s">
        <v>1393</v>
      </c>
      <c r="D27" s="797" t="str">
        <f t="shared" si="2"/>
        <v>3.3 - Revenue</v>
      </c>
      <c r="E27" s="800" t="s">
        <v>1524</v>
      </c>
    </row>
    <row r="28" spans="1:5" x14ac:dyDescent="0.2">
      <c r="B28" s="802">
        <v>3.4</v>
      </c>
      <c r="C28" s="801" t="s">
        <v>1394</v>
      </c>
      <c r="D28" s="797" t="str">
        <f t="shared" si="2"/>
        <v>3.4 - Expenditure</v>
      </c>
      <c r="E28" s="800" t="s">
        <v>1525</v>
      </c>
    </row>
    <row r="29" spans="1:5" x14ac:dyDescent="0.2">
      <c r="B29" s="802">
        <v>3.5</v>
      </c>
      <c r="C29" s="801" t="s">
        <v>596</v>
      </c>
      <c r="D29" s="797" t="str">
        <f t="shared" si="2"/>
        <v>3.5 - Inventory</v>
      </c>
      <c r="E29" s="800" t="s">
        <v>1526</v>
      </c>
    </row>
    <row r="30" spans="1:5" x14ac:dyDescent="0.2">
      <c r="B30" s="802">
        <v>3.6</v>
      </c>
      <c r="C30" s="801" t="s">
        <v>1395</v>
      </c>
      <c r="D30" s="797" t="str">
        <f t="shared" si="2"/>
        <v>3.6 - Supply Chain Management</v>
      </c>
      <c r="E30" s="800" t="s">
        <v>1527</v>
      </c>
    </row>
    <row r="31" spans="1:5" x14ac:dyDescent="0.2">
      <c r="B31" s="802">
        <v>3.7</v>
      </c>
      <c r="C31" s="801" t="s">
        <v>1024</v>
      </c>
      <c r="D31" s="797" t="str">
        <f t="shared" si="2"/>
        <v>3.7 - [Name of sub-vote]</v>
      </c>
      <c r="E31" s="800"/>
    </row>
    <row r="32" spans="1:5" x14ac:dyDescent="0.2">
      <c r="B32" s="802">
        <v>3.8</v>
      </c>
      <c r="C32" s="801" t="s">
        <v>1024</v>
      </c>
      <c r="D32" s="797" t="str">
        <f t="shared" si="2"/>
        <v>3.8 - [Name of sub-vote]</v>
      </c>
      <c r="E32" s="800"/>
    </row>
    <row r="33" spans="2:5" x14ac:dyDescent="0.2">
      <c r="B33" s="802">
        <v>3.9</v>
      </c>
      <c r="C33" s="801" t="s">
        <v>1024</v>
      </c>
      <c r="D33" s="797" t="str">
        <f t="shared" si="2"/>
        <v>3.9 - [Name of sub-vote]</v>
      </c>
      <c r="E33" s="800"/>
    </row>
    <row r="34" spans="2:5" x14ac:dyDescent="0.2">
      <c r="B34" s="802" t="s">
        <v>1049</v>
      </c>
      <c r="C34" s="801" t="s">
        <v>1024</v>
      </c>
      <c r="D34" s="797" t="str">
        <f t="shared" si="2"/>
        <v>3.10 - [Name of sub-vote]</v>
      </c>
      <c r="E34" s="800"/>
    </row>
    <row r="35" spans="2:5" x14ac:dyDescent="0.2">
      <c r="B35" s="805" t="s">
        <v>824</v>
      </c>
      <c r="C35" s="803" t="s">
        <v>1396</v>
      </c>
      <c r="E35" s="800"/>
    </row>
    <row r="36" spans="2:5" x14ac:dyDescent="0.2">
      <c r="B36" s="802">
        <v>4.0999999999999996</v>
      </c>
      <c r="C36" s="801" t="s">
        <v>1397</v>
      </c>
      <c r="D36" s="797" t="str">
        <f t="shared" ref="D36:D45" si="3">CONCATENATE(B36, " - ", C36)</f>
        <v>4.1 - Communications</v>
      </c>
      <c r="E36" s="800" t="s">
        <v>1528</v>
      </c>
    </row>
    <row r="37" spans="2:5" x14ac:dyDescent="0.2">
      <c r="B37" s="802">
        <v>4.2</v>
      </c>
      <c r="C37" s="801" t="s">
        <v>1398</v>
      </c>
      <c r="D37" s="797" t="str">
        <f t="shared" si="3"/>
        <v>4.2 - Public Participation &amp; Project Support</v>
      </c>
      <c r="E37" s="800" t="s">
        <v>1529</v>
      </c>
    </row>
    <row r="38" spans="2:5" x14ac:dyDescent="0.2">
      <c r="B38" s="802">
        <v>4.3</v>
      </c>
      <c r="C38" s="801" t="s">
        <v>168</v>
      </c>
      <c r="D38" s="797" t="str">
        <f t="shared" si="3"/>
        <v>4.3 - Information Technology</v>
      </c>
      <c r="E38" s="800" t="s">
        <v>1530</v>
      </c>
    </row>
    <row r="39" spans="2:5" x14ac:dyDescent="0.2">
      <c r="B39" s="802">
        <v>4.4000000000000004</v>
      </c>
      <c r="C39" s="801" t="s">
        <v>1399</v>
      </c>
      <c r="D39" s="797" t="str">
        <f t="shared" si="3"/>
        <v>4.4 - Administration HR &amp; Corporate</v>
      </c>
      <c r="E39" s="800" t="s">
        <v>1531</v>
      </c>
    </row>
    <row r="40" spans="2:5" x14ac:dyDescent="0.2">
      <c r="B40" s="802">
        <v>4.5</v>
      </c>
      <c r="C40" s="801" t="s">
        <v>167</v>
      </c>
      <c r="D40" s="797" t="str">
        <f t="shared" si="3"/>
        <v>4.5 - Human Resources</v>
      </c>
      <c r="E40" s="800" t="s">
        <v>1532</v>
      </c>
    </row>
    <row r="41" spans="2:5" x14ac:dyDescent="0.2">
      <c r="B41" s="802">
        <v>4.5999999999999996</v>
      </c>
      <c r="C41" s="801" t="s">
        <v>1400</v>
      </c>
      <c r="D41" s="797" t="str">
        <f t="shared" si="3"/>
        <v>4.6 - Occupational Health &amp; safety</v>
      </c>
      <c r="E41" s="800" t="s">
        <v>1533</v>
      </c>
    </row>
    <row r="42" spans="2:5" x14ac:dyDescent="0.2">
      <c r="B42" s="802">
        <v>4.7</v>
      </c>
      <c r="C42" s="801" t="s">
        <v>1396</v>
      </c>
      <c r="D42" s="797" t="str">
        <f t="shared" si="3"/>
        <v>4.7 - Corporate Services</v>
      </c>
      <c r="E42" s="800" t="s">
        <v>1534</v>
      </c>
    </row>
    <row r="43" spans="2:5" x14ac:dyDescent="0.2">
      <c r="B43" s="802">
        <v>4.8</v>
      </c>
      <c r="C43" s="801" t="s">
        <v>1024</v>
      </c>
      <c r="D43" s="797" t="str">
        <f t="shared" si="3"/>
        <v>4.8 - [Name of sub-vote]</v>
      </c>
      <c r="E43" s="800"/>
    </row>
    <row r="44" spans="2:5" x14ac:dyDescent="0.2">
      <c r="B44" s="802">
        <v>4.9000000000000004</v>
      </c>
      <c r="C44" s="801" t="s">
        <v>1024</v>
      </c>
      <c r="D44" s="797" t="str">
        <f t="shared" si="3"/>
        <v>4.9 - [Name of sub-vote]</v>
      </c>
      <c r="E44" s="800"/>
    </row>
    <row r="45" spans="2:5" x14ac:dyDescent="0.2">
      <c r="B45" s="802" t="s">
        <v>1048</v>
      </c>
      <c r="C45" s="801" t="s">
        <v>1024</v>
      </c>
      <c r="D45" s="797" t="str">
        <f t="shared" si="3"/>
        <v>4.10 - [Name of sub-vote]</v>
      </c>
      <c r="E45" s="800"/>
    </row>
    <row r="46" spans="2:5" x14ac:dyDescent="0.2">
      <c r="B46" s="805" t="s">
        <v>823</v>
      </c>
      <c r="C46" s="803" t="s">
        <v>1402</v>
      </c>
      <c r="E46" s="800"/>
    </row>
    <row r="47" spans="2:5" x14ac:dyDescent="0.2">
      <c r="B47" s="802">
        <v>5.0999999999999996</v>
      </c>
      <c r="C47" s="801" t="s">
        <v>1403</v>
      </c>
      <c r="D47" s="797" t="str">
        <f t="shared" ref="D47:D56" si="4">CONCATENATE(B47, " - ", C47)</f>
        <v>5.1 - Parks &amp; Recreation</v>
      </c>
      <c r="E47" s="800" t="s">
        <v>1535</v>
      </c>
    </row>
    <row r="48" spans="2:5" x14ac:dyDescent="0.2">
      <c r="B48" s="802">
        <v>5.2</v>
      </c>
      <c r="C48" s="801" t="s">
        <v>1404</v>
      </c>
      <c r="D48" s="797" t="str">
        <f t="shared" si="4"/>
        <v>5.2 - Administration Community Services</v>
      </c>
      <c r="E48" s="800" t="s">
        <v>1536</v>
      </c>
    </row>
    <row r="49" spans="2:5" x14ac:dyDescent="0.2">
      <c r="B49" s="802">
        <v>5.3</v>
      </c>
      <c r="C49" s="801" t="s">
        <v>1405</v>
      </c>
      <c r="D49" s="797" t="str">
        <f t="shared" si="4"/>
        <v>5.3 - Community Health Services</v>
      </c>
      <c r="E49" s="800" t="s">
        <v>1537</v>
      </c>
    </row>
    <row r="50" spans="2:5" x14ac:dyDescent="0.2">
      <c r="B50" s="802">
        <v>5.4</v>
      </c>
      <c r="C50" s="801" t="s">
        <v>1406</v>
      </c>
      <c r="D50" s="797" t="str">
        <f t="shared" si="4"/>
        <v>5.4 - Enviromental Health Services</v>
      </c>
      <c r="E50" s="800" t="s">
        <v>1538</v>
      </c>
    </row>
    <row r="51" spans="2:5" x14ac:dyDescent="0.2">
      <c r="B51" s="802">
        <v>5.5</v>
      </c>
      <c r="C51" s="801" t="s">
        <v>1407</v>
      </c>
      <c r="D51" s="797" t="str">
        <f t="shared" si="4"/>
        <v>5.5 - Library Services</v>
      </c>
      <c r="E51" s="800" t="s">
        <v>1539</v>
      </c>
    </row>
    <row r="52" spans="2:5" x14ac:dyDescent="0.2">
      <c r="B52" s="802">
        <v>5.6</v>
      </c>
      <c r="C52" s="801" t="s">
        <v>1408</v>
      </c>
      <c r="D52" s="797" t="str">
        <f t="shared" si="4"/>
        <v>5.6 - Solid Waste</v>
      </c>
      <c r="E52" s="800" t="s">
        <v>1540</v>
      </c>
    </row>
    <row r="53" spans="2:5" x14ac:dyDescent="0.2">
      <c r="B53" s="802">
        <v>5.7</v>
      </c>
      <c r="C53" s="801" t="s">
        <v>1409</v>
      </c>
      <c r="D53" s="797" t="str">
        <f t="shared" si="4"/>
        <v>5.7 - Street Cleansing</v>
      </c>
      <c r="E53" s="800" t="s">
        <v>1541</v>
      </c>
    </row>
    <row r="54" spans="2:5" x14ac:dyDescent="0.2">
      <c r="B54" s="802">
        <v>5.8</v>
      </c>
      <c r="C54" s="801" t="s">
        <v>180</v>
      </c>
      <c r="D54" s="797" t="str">
        <f t="shared" si="4"/>
        <v>5.8 - Public Toilets</v>
      </c>
      <c r="E54" s="800" t="s">
        <v>1542</v>
      </c>
    </row>
    <row r="55" spans="2:5" x14ac:dyDescent="0.2">
      <c r="B55" s="802">
        <v>5.9</v>
      </c>
      <c r="C55" s="801" t="s">
        <v>1024</v>
      </c>
      <c r="D55" s="797" t="str">
        <f t="shared" si="4"/>
        <v>5.9 - [Name of sub-vote]</v>
      </c>
      <c r="E55" s="800"/>
    </row>
    <row r="56" spans="2:5" x14ac:dyDescent="0.2">
      <c r="B56" s="802" t="s">
        <v>1047</v>
      </c>
      <c r="C56" s="801" t="s">
        <v>1024</v>
      </c>
      <c r="D56" s="797" t="str">
        <f t="shared" si="4"/>
        <v>5.10 - [Name of sub-vote]</v>
      </c>
      <c r="E56" s="800"/>
    </row>
    <row r="57" spans="2:5" x14ac:dyDescent="0.2">
      <c r="B57" s="805" t="s">
        <v>822</v>
      </c>
      <c r="C57" s="803" t="s">
        <v>1402</v>
      </c>
      <c r="E57" s="800"/>
    </row>
    <row r="58" spans="2:5" x14ac:dyDescent="0.2">
      <c r="B58" s="802">
        <v>6.1</v>
      </c>
      <c r="C58" s="801" t="s">
        <v>1410</v>
      </c>
      <c r="D58" s="797" t="str">
        <f t="shared" ref="D58:D67" si="5">CONCATENATE(B58, " - ", C58)</f>
        <v>6.1 - Traffic services</v>
      </c>
      <c r="E58" s="800" t="s">
        <v>1543</v>
      </c>
    </row>
    <row r="59" spans="2:5" x14ac:dyDescent="0.2">
      <c r="B59" s="802">
        <v>6.2</v>
      </c>
      <c r="C59" s="801" t="s">
        <v>1411</v>
      </c>
      <c r="D59" s="797" t="str">
        <f t="shared" si="5"/>
        <v>6.2 - Administration Transport,safety,Security</v>
      </c>
      <c r="E59" s="800" t="s">
        <v>1544</v>
      </c>
    </row>
    <row r="60" spans="2:5" x14ac:dyDescent="0.2">
      <c r="B60" s="802">
        <v>6.3</v>
      </c>
      <c r="C60" s="801" t="s">
        <v>1412</v>
      </c>
      <c r="D60" s="797" t="str">
        <f t="shared" si="5"/>
        <v>6.3 - Vehicle licencing</v>
      </c>
      <c r="E60" s="800" t="s">
        <v>1545</v>
      </c>
    </row>
    <row r="61" spans="2:5" x14ac:dyDescent="0.2">
      <c r="B61" s="802">
        <v>6.4</v>
      </c>
      <c r="C61" s="801" t="s">
        <v>1024</v>
      </c>
      <c r="D61" s="797" t="str">
        <f t="shared" si="5"/>
        <v>6.4 - [Name of sub-vote]</v>
      </c>
      <c r="E61" s="800"/>
    </row>
    <row r="62" spans="2:5" x14ac:dyDescent="0.2">
      <c r="B62" s="802">
        <v>6.5</v>
      </c>
      <c r="C62" s="801" t="s">
        <v>1024</v>
      </c>
      <c r="D62" s="797" t="str">
        <f t="shared" si="5"/>
        <v>6.5 - [Name of sub-vote]</v>
      </c>
      <c r="E62" s="800"/>
    </row>
    <row r="63" spans="2:5" x14ac:dyDescent="0.2">
      <c r="B63" s="802">
        <v>6.6</v>
      </c>
      <c r="C63" s="801" t="s">
        <v>1024</v>
      </c>
      <c r="D63" s="797" t="str">
        <f t="shared" si="5"/>
        <v>6.6 - [Name of sub-vote]</v>
      </c>
      <c r="E63" s="800"/>
    </row>
    <row r="64" spans="2:5" x14ac:dyDescent="0.2">
      <c r="B64" s="802">
        <v>6.7</v>
      </c>
      <c r="C64" s="801" t="s">
        <v>1024</v>
      </c>
      <c r="D64" s="797" t="str">
        <f t="shared" si="5"/>
        <v>6.7 - [Name of sub-vote]</v>
      </c>
      <c r="E64" s="800"/>
    </row>
    <row r="65" spans="2:5" x14ac:dyDescent="0.2">
      <c r="B65" s="802">
        <v>6.8</v>
      </c>
      <c r="C65" s="801" t="s">
        <v>1024</v>
      </c>
      <c r="D65" s="797" t="str">
        <f t="shared" si="5"/>
        <v>6.8 - [Name of sub-vote]</v>
      </c>
      <c r="E65" s="800"/>
    </row>
    <row r="66" spans="2:5" x14ac:dyDescent="0.2">
      <c r="B66" s="802">
        <v>6.9</v>
      </c>
      <c r="C66" s="801" t="s">
        <v>1024</v>
      </c>
      <c r="D66" s="797" t="str">
        <f t="shared" si="5"/>
        <v>6.9 - [Name of sub-vote]</v>
      </c>
      <c r="E66" s="800"/>
    </row>
    <row r="67" spans="2:5" x14ac:dyDescent="0.2">
      <c r="B67" s="802" t="s">
        <v>1046</v>
      </c>
      <c r="C67" s="801" t="s">
        <v>1024</v>
      </c>
      <c r="D67" s="797" t="str">
        <f t="shared" si="5"/>
        <v>6.10 - [Name of sub-vote]</v>
      </c>
      <c r="E67" s="800"/>
    </row>
    <row r="68" spans="2:5" x14ac:dyDescent="0.2">
      <c r="B68" s="804" t="s">
        <v>821</v>
      </c>
      <c r="C68" s="803" t="s">
        <v>1413</v>
      </c>
      <c r="E68" s="800"/>
    </row>
    <row r="69" spans="2:5" x14ac:dyDescent="0.2">
      <c r="B69" s="802">
        <v>7.1</v>
      </c>
      <c r="C69" s="801" t="s">
        <v>1414</v>
      </c>
      <c r="D69" s="797" t="str">
        <f t="shared" ref="D69:D78" si="6">CONCATENATE(B69, " - ", C69)</f>
        <v>7.1 - Administration Electrical Engineering</v>
      </c>
      <c r="E69" s="800" t="s">
        <v>1546</v>
      </c>
    </row>
    <row r="70" spans="2:5" x14ac:dyDescent="0.2">
      <c r="B70" s="802">
        <v>7.2</v>
      </c>
      <c r="C70" s="801" t="s">
        <v>1415</v>
      </c>
      <c r="D70" s="797" t="str">
        <f t="shared" si="6"/>
        <v>7.2 - Operations &amp; Maintenance: Rural</v>
      </c>
      <c r="E70" s="800" t="s">
        <v>1547</v>
      </c>
    </row>
    <row r="71" spans="2:5" x14ac:dyDescent="0.2">
      <c r="B71" s="802">
        <v>7.3</v>
      </c>
      <c r="C71" s="801" t="s">
        <v>1416</v>
      </c>
      <c r="D71" s="797" t="str">
        <f t="shared" si="6"/>
        <v>7.3 - Operations &amp; Maintenance: Town</v>
      </c>
      <c r="E71" s="800" t="s">
        <v>1548</v>
      </c>
    </row>
    <row r="72" spans="2:5" x14ac:dyDescent="0.2">
      <c r="B72" s="802">
        <v>7.4</v>
      </c>
      <c r="C72" s="801" t="s">
        <v>1024</v>
      </c>
      <c r="D72" s="797" t="str">
        <f t="shared" si="6"/>
        <v>7.4 - [Name of sub-vote]</v>
      </c>
      <c r="E72" s="800"/>
    </row>
    <row r="73" spans="2:5" x14ac:dyDescent="0.2">
      <c r="B73" s="802">
        <v>7.5</v>
      </c>
      <c r="C73" s="801" t="s">
        <v>1024</v>
      </c>
      <c r="D73" s="797" t="str">
        <f t="shared" si="6"/>
        <v>7.5 - [Name of sub-vote]</v>
      </c>
      <c r="E73" s="800"/>
    </row>
    <row r="74" spans="2:5" x14ac:dyDescent="0.2">
      <c r="B74" s="802">
        <v>7.6</v>
      </c>
      <c r="C74" s="801" t="s">
        <v>1024</v>
      </c>
      <c r="D74" s="797" t="str">
        <f t="shared" si="6"/>
        <v>7.6 - [Name of sub-vote]</v>
      </c>
      <c r="E74" s="800"/>
    </row>
    <row r="75" spans="2:5" x14ac:dyDescent="0.2">
      <c r="B75" s="802">
        <v>7.7</v>
      </c>
      <c r="C75" s="801" t="s">
        <v>1024</v>
      </c>
      <c r="D75" s="797" t="str">
        <f t="shared" si="6"/>
        <v>7.7 - [Name of sub-vote]</v>
      </c>
      <c r="E75" s="800"/>
    </row>
    <row r="76" spans="2:5" x14ac:dyDescent="0.2">
      <c r="B76" s="802">
        <v>7.8</v>
      </c>
      <c r="C76" s="801" t="s">
        <v>1024</v>
      </c>
      <c r="D76" s="797" t="str">
        <f t="shared" si="6"/>
        <v>7.8 - [Name of sub-vote]</v>
      </c>
      <c r="E76" s="800"/>
    </row>
    <row r="77" spans="2:5" x14ac:dyDescent="0.2">
      <c r="B77" s="802">
        <v>7.9</v>
      </c>
      <c r="C77" s="801" t="s">
        <v>1024</v>
      </c>
      <c r="D77" s="797" t="str">
        <f t="shared" si="6"/>
        <v>7.9 - [Name of sub-vote]</v>
      </c>
      <c r="E77" s="800"/>
    </row>
    <row r="78" spans="2:5" x14ac:dyDescent="0.2">
      <c r="B78" s="802" t="s">
        <v>1045</v>
      </c>
      <c r="C78" s="801" t="s">
        <v>1024</v>
      </c>
      <c r="D78" s="797" t="str">
        <f t="shared" si="6"/>
        <v>7.10 - [Name of sub-vote]</v>
      </c>
      <c r="E78" s="800"/>
    </row>
    <row r="79" spans="2:5" x14ac:dyDescent="0.2">
      <c r="B79" s="804" t="s">
        <v>820</v>
      </c>
      <c r="C79" s="803" t="s">
        <v>1417</v>
      </c>
      <c r="E79" s="800"/>
    </row>
    <row r="80" spans="2:5" x14ac:dyDescent="0.2">
      <c r="B80" s="802">
        <v>8.1</v>
      </c>
      <c r="C80" s="801" t="s">
        <v>1136</v>
      </c>
      <c r="D80" s="797" t="str">
        <f t="shared" ref="D80:D89" si="7">CONCATENATE(B80, " - ", C80)</f>
        <v>8.1 - Fleet Management</v>
      </c>
      <c r="E80" s="800" t="s">
        <v>1549</v>
      </c>
    </row>
    <row r="81" spans="2:5" x14ac:dyDescent="0.2">
      <c r="B81" s="802">
        <v>8.1999999999999993</v>
      </c>
      <c r="C81" s="801" t="s">
        <v>1418</v>
      </c>
      <c r="D81" s="797" t="str">
        <f t="shared" si="7"/>
        <v>8.2 - Administration Civil Engineering</v>
      </c>
      <c r="E81" s="800" t="s">
        <v>1550</v>
      </c>
    </row>
    <row r="82" spans="2:5" x14ac:dyDescent="0.2">
      <c r="B82" s="802">
        <v>8.3000000000000007</v>
      </c>
      <c r="C82" s="801" t="s">
        <v>1419</v>
      </c>
      <c r="D82" s="797" t="str">
        <f t="shared" si="7"/>
        <v>8.3 - Roads &amp; stormwater Management</v>
      </c>
      <c r="E82" s="800" t="s">
        <v>1551</v>
      </c>
    </row>
    <row r="83" spans="2:5" x14ac:dyDescent="0.2">
      <c r="B83" s="802">
        <v>8.4</v>
      </c>
      <c r="C83" s="801" t="s">
        <v>1420</v>
      </c>
      <c r="D83" s="797" t="str">
        <f t="shared" si="7"/>
        <v>8.4 - Water Networks</v>
      </c>
      <c r="E83" s="800" t="s">
        <v>1552</v>
      </c>
    </row>
    <row r="84" spans="2:5" x14ac:dyDescent="0.2">
      <c r="B84" s="802">
        <v>8.5</v>
      </c>
      <c r="C84" s="801" t="s">
        <v>1421</v>
      </c>
      <c r="D84" s="797" t="str">
        <f t="shared" si="7"/>
        <v>8.5 - Water Purification</v>
      </c>
      <c r="E84" s="800" t="s">
        <v>1553</v>
      </c>
    </row>
    <row r="85" spans="2:5" x14ac:dyDescent="0.2">
      <c r="B85" s="802">
        <v>8.6</v>
      </c>
      <c r="C85" s="801" t="s">
        <v>1422</v>
      </c>
      <c r="D85" s="797" t="str">
        <f t="shared" si="7"/>
        <v>8.6 - Building &amp; Housing</v>
      </c>
      <c r="E85" s="800" t="s">
        <v>1554</v>
      </c>
    </row>
    <row r="86" spans="2:5" x14ac:dyDescent="0.2">
      <c r="B86" s="802">
        <v>8.6999999999999993</v>
      </c>
      <c r="C86" s="801" t="s">
        <v>1423</v>
      </c>
      <c r="D86" s="797" t="str">
        <f t="shared" si="7"/>
        <v>8.7 - Project Management</v>
      </c>
      <c r="E86" s="800" t="s">
        <v>1555</v>
      </c>
    </row>
    <row r="87" spans="2:5" x14ac:dyDescent="0.2">
      <c r="B87" s="802">
        <v>8.8000000000000007</v>
      </c>
      <c r="C87" s="801" t="s">
        <v>1024</v>
      </c>
      <c r="D87" s="797" t="str">
        <f t="shared" si="7"/>
        <v>8.8 - [Name of sub-vote]</v>
      </c>
      <c r="E87" s="800"/>
    </row>
    <row r="88" spans="2:5" x14ac:dyDescent="0.2">
      <c r="B88" s="802">
        <v>8.9</v>
      </c>
      <c r="C88" s="801" t="s">
        <v>1024</v>
      </c>
      <c r="D88" s="797" t="str">
        <f t="shared" si="7"/>
        <v>8.9 - [Name of sub-vote]</v>
      </c>
      <c r="E88" s="800"/>
    </row>
    <row r="89" spans="2:5" x14ac:dyDescent="0.2">
      <c r="B89" s="802" t="s">
        <v>1044</v>
      </c>
      <c r="C89" s="801" t="s">
        <v>1024</v>
      </c>
      <c r="D89" s="797" t="str">
        <f t="shared" si="7"/>
        <v>8.10 - [Name of sub-vote]</v>
      </c>
      <c r="E89" s="800"/>
    </row>
    <row r="90" spans="2:5" x14ac:dyDescent="0.2">
      <c r="B90" s="804" t="s">
        <v>819</v>
      </c>
      <c r="C90" s="803" t="s">
        <v>1424</v>
      </c>
      <c r="E90" s="800"/>
    </row>
    <row r="91" spans="2:5" x14ac:dyDescent="0.2">
      <c r="B91" s="802">
        <v>9.1</v>
      </c>
      <c r="C91" s="801" t="s">
        <v>1425</v>
      </c>
      <c r="D91" s="797" t="str">
        <f t="shared" ref="D91:D100" si="8">CONCATENATE(B91, " - ", C91)</f>
        <v>9.1 - Gteda</v>
      </c>
      <c r="E91" s="800" t="s">
        <v>1556</v>
      </c>
    </row>
    <row r="92" spans="2:5" x14ac:dyDescent="0.2">
      <c r="B92" s="802">
        <v>9.1999999999999993</v>
      </c>
      <c r="C92" s="801" t="s">
        <v>1024</v>
      </c>
      <c r="D92" s="797" t="str">
        <f t="shared" si="8"/>
        <v>9.2 - [Name of sub-vote]</v>
      </c>
      <c r="E92" s="800"/>
    </row>
    <row r="93" spans="2:5" x14ac:dyDescent="0.2">
      <c r="B93" s="802">
        <v>9.3000000000000007</v>
      </c>
      <c r="C93" s="801" t="s">
        <v>1024</v>
      </c>
      <c r="D93" s="797" t="str">
        <f t="shared" si="8"/>
        <v>9.3 - [Name of sub-vote]</v>
      </c>
      <c r="E93" s="800"/>
    </row>
    <row r="94" spans="2:5" x14ac:dyDescent="0.2">
      <c r="B94" s="802">
        <v>9.4</v>
      </c>
      <c r="C94" s="801" t="s">
        <v>1024</v>
      </c>
      <c r="D94" s="797" t="str">
        <f t="shared" si="8"/>
        <v>9.4 - [Name of sub-vote]</v>
      </c>
      <c r="E94" s="800"/>
    </row>
    <row r="95" spans="2:5" x14ac:dyDescent="0.2">
      <c r="B95" s="802">
        <v>9.5</v>
      </c>
      <c r="C95" s="801" t="s">
        <v>1024</v>
      </c>
      <c r="D95" s="797" t="str">
        <f t="shared" si="8"/>
        <v>9.5 - [Name of sub-vote]</v>
      </c>
      <c r="E95" s="800"/>
    </row>
    <row r="96" spans="2:5" x14ac:dyDescent="0.2">
      <c r="B96" s="802">
        <v>9.6</v>
      </c>
      <c r="C96" s="801" t="s">
        <v>1024</v>
      </c>
      <c r="D96" s="797" t="str">
        <f t="shared" si="8"/>
        <v>9.6 - [Name of sub-vote]</v>
      </c>
      <c r="E96" s="800"/>
    </row>
    <row r="97" spans="2:5" x14ac:dyDescent="0.2">
      <c r="B97" s="802">
        <v>9.6999999999999993</v>
      </c>
      <c r="C97" s="801" t="s">
        <v>1024</v>
      </c>
      <c r="D97" s="797" t="str">
        <f t="shared" si="8"/>
        <v>9.7 - [Name of sub-vote]</v>
      </c>
      <c r="E97" s="800"/>
    </row>
    <row r="98" spans="2:5" x14ac:dyDescent="0.2">
      <c r="B98" s="802">
        <v>9.8000000000000007</v>
      </c>
      <c r="C98" s="801" t="s">
        <v>1024</v>
      </c>
      <c r="D98" s="797" t="str">
        <f t="shared" si="8"/>
        <v>9.8 - [Name of sub-vote]</v>
      </c>
      <c r="E98" s="800"/>
    </row>
    <row r="99" spans="2:5" x14ac:dyDescent="0.2">
      <c r="B99" s="802">
        <v>9.9</v>
      </c>
      <c r="C99" s="801" t="s">
        <v>1024</v>
      </c>
      <c r="D99" s="797" t="str">
        <f t="shared" si="8"/>
        <v>9.9 - [Name of sub-vote]</v>
      </c>
      <c r="E99" s="800"/>
    </row>
    <row r="100" spans="2:5" x14ac:dyDescent="0.2">
      <c r="B100" s="802" t="s">
        <v>1043</v>
      </c>
      <c r="C100" s="801" t="s">
        <v>1024</v>
      </c>
      <c r="D100" s="797" t="str">
        <f t="shared" si="8"/>
        <v>9.10 - [Name of sub-vote]</v>
      </c>
      <c r="E100" s="800"/>
    </row>
    <row r="101" spans="2:5" x14ac:dyDescent="0.2">
      <c r="B101" s="804" t="s">
        <v>818</v>
      </c>
      <c r="C101" s="803" t="s">
        <v>1042</v>
      </c>
      <c r="E101" s="800"/>
    </row>
    <row r="102" spans="2:5" x14ac:dyDescent="0.2">
      <c r="B102" s="802">
        <v>10.1</v>
      </c>
      <c r="C102" s="801" t="s">
        <v>1024</v>
      </c>
      <c r="D102" s="797" t="str">
        <f t="shared" ref="D102:D111" si="9">CONCATENATE(B102, " - ", C102)</f>
        <v>10.1 - [Name of sub-vote]</v>
      </c>
      <c r="E102" s="800" t="s">
        <v>1041</v>
      </c>
    </row>
    <row r="103" spans="2:5" x14ac:dyDescent="0.2">
      <c r="B103" s="802">
        <v>10.199999999999999</v>
      </c>
      <c r="C103" s="801" t="s">
        <v>1024</v>
      </c>
      <c r="D103" s="797" t="str">
        <f t="shared" si="9"/>
        <v>10.2 - [Name of sub-vote]</v>
      </c>
      <c r="E103" s="800"/>
    </row>
    <row r="104" spans="2:5" x14ac:dyDescent="0.2">
      <c r="B104" s="802">
        <v>10.3</v>
      </c>
      <c r="C104" s="801" t="s">
        <v>1024</v>
      </c>
      <c r="D104" s="797" t="str">
        <f t="shared" si="9"/>
        <v>10.3 - [Name of sub-vote]</v>
      </c>
      <c r="E104" s="800"/>
    </row>
    <row r="105" spans="2:5" x14ac:dyDescent="0.2">
      <c r="B105" s="802">
        <v>10.4</v>
      </c>
      <c r="C105" s="801" t="s">
        <v>1024</v>
      </c>
      <c r="D105" s="797" t="str">
        <f t="shared" si="9"/>
        <v>10.4 - [Name of sub-vote]</v>
      </c>
      <c r="E105" s="800"/>
    </row>
    <row r="106" spans="2:5" x14ac:dyDescent="0.2">
      <c r="B106" s="802">
        <v>10.5</v>
      </c>
      <c r="C106" s="801" t="s">
        <v>1024</v>
      </c>
      <c r="D106" s="797" t="str">
        <f t="shared" si="9"/>
        <v>10.5 - [Name of sub-vote]</v>
      </c>
      <c r="E106" s="800"/>
    </row>
    <row r="107" spans="2:5" x14ac:dyDescent="0.2">
      <c r="B107" s="802">
        <v>10.6</v>
      </c>
      <c r="C107" s="801" t="s">
        <v>1024</v>
      </c>
      <c r="D107" s="797" t="str">
        <f t="shared" si="9"/>
        <v>10.6 - [Name of sub-vote]</v>
      </c>
      <c r="E107" s="800"/>
    </row>
    <row r="108" spans="2:5" x14ac:dyDescent="0.2">
      <c r="B108" s="802">
        <v>10.7</v>
      </c>
      <c r="C108" s="801" t="s">
        <v>1024</v>
      </c>
      <c r="D108" s="797" t="str">
        <f t="shared" si="9"/>
        <v>10.7 - [Name of sub-vote]</v>
      </c>
      <c r="E108" s="800"/>
    </row>
    <row r="109" spans="2:5" x14ac:dyDescent="0.2">
      <c r="B109" s="802">
        <v>10.8</v>
      </c>
      <c r="C109" s="801" t="s">
        <v>1024</v>
      </c>
      <c r="D109" s="797" t="str">
        <f t="shared" si="9"/>
        <v>10.8 - [Name of sub-vote]</v>
      </c>
      <c r="E109" s="800"/>
    </row>
    <row r="110" spans="2:5" x14ac:dyDescent="0.2">
      <c r="B110" s="802">
        <v>10.9</v>
      </c>
      <c r="C110" s="801" t="s">
        <v>1024</v>
      </c>
      <c r="D110" s="797" t="str">
        <f t="shared" si="9"/>
        <v>10.9 - [Name of sub-vote]</v>
      </c>
      <c r="E110" s="800"/>
    </row>
    <row r="111" spans="2:5" x14ac:dyDescent="0.2">
      <c r="B111" s="802" t="s">
        <v>1040</v>
      </c>
      <c r="C111" s="801" t="s">
        <v>1024</v>
      </c>
      <c r="D111" s="797" t="str">
        <f t="shared" si="9"/>
        <v>10.10 - [Name of sub-vote]</v>
      </c>
      <c r="E111" s="800"/>
    </row>
    <row r="112" spans="2:5" x14ac:dyDescent="0.2">
      <c r="B112" s="804" t="s">
        <v>817</v>
      </c>
      <c r="C112" s="803" t="s">
        <v>1039</v>
      </c>
      <c r="E112" s="800"/>
    </row>
    <row r="113" spans="2:5" x14ac:dyDescent="0.2">
      <c r="B113" s="802">
        <v>11.1</v>
      </c>
      <c r="C113" s="801" t="s">
        <v>1024</v>
      </c>
      <c r="D113" s="797" t="str">
        <f t="shared" ref="D113:D122" si="10">CONCATENATE(B113, " - ", C113)</f>
        <v>11.1 - [Name of sub-vote]</v>
      </c>
      <c r="E113" s="800" t="s">
        <v>1038</v>
      </c>
    </row>
    <row r="114" spans="2:5" x14ac:dyDescent="0.2">
      <c r="B114" s="802">
        <v>11.2</v>
      </c>
      <c r="C114" s="801" t="s">
        <v>1024</v>
      </c>
      <c r="D114" s="797" t="str">
        <f t="shared" si="10"/>
        <v>11.2 - [Name of sub-vote]</v>
      </c>
      <c r="E114" s="800"/>
    </row>
    <row r="115" spans="2:5" x14ac:dyDescent="0.2">
      <c r="B115" s="802">
        <v>11.3</v>
      </c>
      <c r="C115" s="801" t="s">
        <v>1024</v>
      </c>
      <c r="D115" s="797" t="str">
        <f t="shared" si="10"/>
        <v>11.3 - [Name of sub-vote]</v>
      </c>
      <c r="E115" s="800"/>
    </row>
    <row r="116" spans="2:5" x14ac:dyDescent="0.2">
      <c r="B116" s="802">
        <v>11.4</v>
      </c>
      <c r="C116" s="801" t="s">
        <v>1024</v>
      </c>
      <c r="D116" s="797" t="str">
        <f t="shared" si="10"/>
        <v>11.4 - [Name of sub-vote]</v>
      </c>
      <c r="E116" s="800"/>
    </row>
    <row r="117" spans="2:5" x14ac:dyDescent="0.2">
      <c r="B117" s="802">
        <v>11.5</v>
      </c>
      <c r="C117" s="801" t="s">
        <v>1024</v>
      </c>
      <c r="D117" s="797" t="str">
        <f t="shared" si="10"/>
        <v>11.5 - [Name of sub-vote]</v>
      </c>
      <c r="E117" s="800"/>
    </row>
    <row r="118" spans="2:5" x14ac:dyDescent="0.2">
      <c r="B118" s="802">
        <v>11.6</v>
      </c>
      <c r="C118" s="801" t="s">
        <v>1024</v>
      </c>
      <c r="D118" s="797" t="str">
        <f t="shared" si="10"/>
        <v>11.6 - [Name of sub-vote]</v>
      </c>
      <c r="E118" s="800"/>
    </row>
    <row r="119" spans="2:5" x14ac:dyDescent="0.2">
      <c r="B119" s="802">
        <v>11.7</v>
      </c>
      <c r="C119" s="801" t="s">
        <v>1024</v>
      </c>
      <c r="D119" s="797" t="str">
        <f t="shared" si="10"/>
        <v>11.7 - [Name of sub-vote]</v>
      </c>
      <c r="E119" s="800"/>
    </row>
    <row r="120" spans="2:5" x14ac:dyDescent="0.2">
      <c r="B120" s="802">
        <v>11.8</v>
      </c>
      <c r="C120" s="801" t="s">
        <v>1024</v>
      </c>
      <c r="D120" s="797" t="str">
        <f t="shared" si="10"/>
        <v>11.8 - [Name of sub-vote]</v>
      </c>
      <c r="E120" s="800"/>
    </row>
    <row r="121" spans="2:5" x14ac:dyDescent="0.2">
      <c r="B121" s="802">
        <v>11.9</v>
      </c>
      <c r="C121" s="801" t="s">
        <v>1024</v>
      </c>
      <c r="D121" s="797" t="str">
        <f t="shared" si="10"/>
        <v>11.9 - [Name of sub-vote]</v>
      </c>
      <c r="E121" s="800"/>
    </row>
    <row r="122" spans="2:5" x14ac:dyDescent="0.2">
      <c r="B122" s="802" t="s">
        <v>1037</v>
      </c>
      <c r="C122" s="801" t="s">
        <v>1024</v>
      </c>
      <c r="D122" s="797" t="str">
        <f t="shared" si="10"/>
        <v>11.10 - [Name of sub-vote]</v>
      </c>
      <c r="E122" s="800"/>
    </row>
    <row r="123" spans="2:5" x14ac:dyDescent="0.2">
      <c r="B123" s="804" t="s">
        <v>816</v>
      </c>
      <c r="C123" s="803" t="s">
        <v>1036</v>
      </c>
      <c r="E123" s="800"/>
    </row>
    <row r="124" spans="2:5" x14ac:dyDescent="0.2">
      <c r="B124" s="802">
        <v>12.1</v>
      </c>
      <c r="C124" s="801" t="s">
        <v>1024</v>
      </c>
      <c r="D124" s="797" t="str">
        <f t="shared" ref="D124:D133" si="11">CONCATENATE(B124, " - ", C124)</f>
        <v>12.1 - [Name of sub-vote]</v>
      </c>
      <c r="E124" s="800" t="s">
        <v>1035</v>
      </c>
    </row>
    <row r="125" spans="2:5" x14ac:dyDescent="0.2">
      <c r="B125" s="802">
        <v>12.2</v>
      </c>
      <c r="C125" s="801" t="s">
        <v>1024</v>
      </c>
      <c r="D125" s="797" t="str">
        <f t="shared" si="11"/>
        <v>12.2 - [Name of sub-vote]</v>
      </c>
      <c r="E125" s="800"/>
    </row>
    <row r="126" spans="2:5" x14ac:dyDescent="0.2">
      <c r="B126" s="802">
        <v>12.3</v>
      </c>
      <c r="C126" s="801" t="s">
        <v>1024</v>
      </c>
      <c r="D126" s="797" t="str">
        <f t="shared" si="11"/>
        <v>12.3 - [Name of sub-vote]</v>
      </c>
      <c r="E126" s="800"/>
    </row>
    <row r="127" spans="2:5" x14ac:dyDescent="0.2">
      <c r="B127" s="802">
        <v>12.4</v>
      </c>
      <c r="C127" s="801" t="s">
        <v>1024</v>
      </c>
      <c r="D127" s="797" t="str">
        <f t="shared" si="11"/>
        <v>12.4 - [Name of sub-vote]</v>
      </c>
      <c r="E127" s="800"/>
    </row>
    <row r="128" spans="2:5" x14ac:dyDescent="0.2">
      <c r="B128" s="802">
        <v>12.5</v>
      </c>
      <c r="C128" s="801" t="s">
        <v>1024</v>
      </c>
      <c r="D128" s="797" t="str">
        <f t="shared" si="11"/>
        <v>12.5 - [Name of sub-vote]</v>
      </c>
      <c r="E128" s="800"/>
    </row>
    <row r="129" spans="2:5" x14ac:dyDescent="0.2">
      <c r="B129" s="802">
        <v>12.6</v>
      </c>
      <c r="C129" s="801" t="s">
        <v>1024</v>
      </c>
      <c r="D129" s="797" t="str">
        <f t="shared" si="11"/>
        <v>12.6 - [Name of sub-vote]</v>
      </c>
      <c r="E129" s="800"/>
    </row>
    <row r="130" spans="2:5" x14ac:dyDescent="0.2">
      <c r="B130" s="802">
        <v>12.7</v>
      </c>
      <c r="C130" s="801" t="s">
        <v>1024</v>
      </c>
      <c r="D130" s="797" t="str">
        <f t="shared" si="11"/>
        <v>12.7 - [Name of sub-vote]</v>
      </c>
      <c r="E130" s="800"/>
    </row>
    <row r="131" spans="2:5" x14ac:dyDescent="0.2">
      <c r="B131" s="802">
        <v>12.8</v>
      </c>
      <c r="C131" s="801" t="s">
        <v>1024</v>
      </c>
      <c r="D131" s="797" t="str">
        <f t="shared" si="11"/>
        <v>12.8 - [Name of sub-vote]</v>
      </c>
      <c r="E131" s="800"/>
    </row>
    <row r="132" spans="2:5" x14ac:dyDescent="0.2">
      <c r="B132" s="802">
        <v>12.9</v>
      </c>
      <c r="C132" s="801" t="s">
        <v>1024</v>
      </c>
      <c r="D132" s="797" t="str">
        <f t="shared" si="11"/>
        <v>12.9 - [Name of sub-vote]</v>
      </c>
      <c r="E132" s="800"/>
    </row>
    <row r="133" spans="2:5" x14ac:dyDescent="0.2">
      <c r="B133" s="802" t="s">
        <v>1034</v>
      </c>
      <c r="C133" s="801" t="s">
        <v>1024</v>
      </c>
      <c r="D133" s="797" t="str">
        <f t="shared" si="11"/>
        <v>12.10 - [Name of sub-vote]</v>
      </c>
      <c r="E133" s="800"/>
    </row>
    <row r="134" spans="2:5" x14ac:dyDescent="0.2">
      <c r="B134" s="804" t="s">
        <v>815</v>
      </c>
      <c r="C134" s="803" t="s">
        <v>1033</v>
      </c>
      <c r="E134" s="800"/>
    </row>
    <row r="135" spans="2:5" x14ac:dyDescent="0.2">
      <c r="B135" s="802">
        <v>13.1</v>
      </c>
      <c r="C135" s="801" t="s">
        <v>1024</v>
      </c>
      <c r="D135" s="797" t="str">
        <f t="shared" ref="D135:D144" si="12">CONCATENATE(B135, " - ", C135)</f>
        <v>13.1 - [Name of sub-vote]</v>
      </c>
      <c r="E135" s="800" t="s">
        <v>1032</v>
      </c>
    </row>
    <row r="136" spans="2:5" x14ac:dyDescent="0.2">
      <c r="B136" s="802">
        <v>13.2</v>
      </c>
      <c r="C136" s="801" t="s">
        <v>1024</v>
      </c>
      <c r="D136" s="797" t="str">
        <f t="shared" si="12"/>
        <v>13.2 - [Name of sub-vote]</v>
      </c>
      <c r="E136" s="800"/>
    </row>
    <row r="137" spans="2:5" x14ac:dyDescent="0.2">
      <c r="B137" s="802">
        <v>13.3</v>
      </c>
      <c r="C137" s="801" t="s">
        <v>1024</v>
      </c>
      <c r="D137" s="797" t="str">
        <f t="shared" si="12"/>
        <v>13.3 - [Name of sub-vote]</v>
      </c>
      <c r="E137" s="800"/>
    </row>
    <row r="138" spans="2:5" x14ac:dyDescent="0.2">
      <c r="B138" s="802">
        <v>13.4</v>
      </c>
      <c r="C138" s="801" t="s">
        <v>1024</v>
      </c>
      <c r="D138" s="797" t="str">
        <f t="shared" si="12"/>
        <v>13.4 - [Name of sub-vote]</v>
      </c>
      <c r="E138" s="800"/>
    </row>
    <row r="139" spans="2:5" x14ac:dyDescent="0.2">
      <c r="B139" s="802">
        <v>13.5</v>
      </c>
      <c r="C139" s="801" t="s">
        <v>1024</v>
      </c>
      <c r="D139" s="797" t="str">
        <f t="shared" si="12"/>
        <v>13.5 - [Name of sub-vote]</v>
      </c>
      <c r="E139" s="800"/>
    </row>
    <row r="140" spans="2:5" x14ac:dyDescent="0.2">
      <c r="B140" s="802">
        <v>13.6</v>
      </c>
      <c r="C140" s="801" t="s">
        <v>1024</v>
      </c>
      <c r="D140" s="797" t="str">
        <f t="shared" si="12"/>
        <v>13.6 - [Name of sub-vote]</v>
      </c>
      <c r="E140" s="800"/>
    </row>
    <row r="141" spans="2:5" x14ac:dyDescent="0.2">
      <c r="B141" s="802">
        <v>13.7</v>
      </c>
      <c r="C141" s="801" t="s">
        <v>1024</v>
      </c>
      <c r="D141" s="797" t="str">
        <f t="shared" si="12"/>
        <v>13.7 - [Name of sub-vote]</v>
      </c>
      <c r="E141" s="800"/>
    </row>
    <row r="142" spans="2:5" x14ac:dyDescent="0.2">
      <c r="B142" s="802">
        <v>13.8</v>
      </c>
      <c r="C142" s="801" t="s">
        <v>1024</v>
      </c>
      <c r="D142" s="797" t="str">
        <f t="shared" si="12"/>
        <v>13.8 - [Name of sub-vote]</v>
      </c>
      <c r="E142" s="800"/>
    </row>
    <row r="143" spans="2:5" x14ac:dyDescent="0.2">
      <c r="B143" s="802">
        <v>13.9</v>
      </c>
      <c r="C143" s="801" t="s">
        <v>1024</v>
      </c>
      <c r="D143" s="797" t="str">
        <f t="shared" si="12"/>
        <v>13.9 - [Name of sub-vote]</v>
      </c>
      <c r="E143" s="800"/>
    </row>
    <row r="144" spans="2:5" x14ac:dyDescent="0.2">
      <c r="B144" s="802" t="s">
        <v>1031</v>
      </c>
      <c r="C144" s="801" t="s">
        <v>1024</v>
      </c>
      <c r="D144" s="797" t="str">
        <f t="shared" si="12"/>
        <v>13.10 - [Name of sub-vote]</v>
      </c>
      <c r="E144" s="800"/>
    </row>
    <row r="145" spans="2:5" x14ac:dyDescent="0.2">
      <c r="B145" s="804" t="s">
        <v>814</v>
      </c>
      <c r="C145" s="803" t="s">
        <v>1030</v>
      </c>
      <c r="E145" s="800"/>
    </row>
    <row r="146" spans="2:5" x14ac:dyDescent="0.2">
      <c r="B146" s="802">
        <v>14.1</v>
      </c>
      <c r="C146" s="801" t="s">
        <v>1024</v>
      </c>
      <c r="D146" s="797" t="str">
        <f t="shared" ref="D146:D155" si="13">CONCATENATE(B146, " - ", C146)</f>
        <v>14.1 - [Name of sub-vote]</v>
      </c>
      <c r="E146" s="800" t="s">
        <v>1029</v>
      </c>
    </row>
    <row r="147" spans="2:5" x14ac:dyDescent="0.2">
      <c r="B147" s="802">
        <v>14.2</v>
      </c>
      <c r="C147" s="801" t="s">
        <v>1024</v>
      </c>
      <c r="D147" s="797" t="str">
        <f t="shared" si="13"/>
        <v>14.2 - [Name of sub-vote]</v>
      </c>
      <c r="E147" s="800"/>
    </row>
    <row r="148" spans="2:5" x14ac:dyDescent="0.2">
      <c r="B148" s="802">
        <v>14.3</v>
      </c>
      <c r="C148" s="801" t="s">
        <v>1024</v>
      </c>
      <c r="D148" s="797" t="str">
        <f t="shared" si="13"/>
        <v>14.3 - [Name of sub-vote]</v>
      </c>
      <c r="E148" s="800"/>
    </row>
    <row r="149" spans="2:5" x14ac:dyDescent="0.2">
      <c r="B149" s="802">
        <v>14.4</v>
      </c>
      <c r="C149" s="801" t="s">
        <v>1024</v>
      </c>
      <c r="D149" s="797" t="str">
        <f t="shared" si="13"/>
        <v>14.4 - [Name of sub-vote]</v>
      </c>
      <c r="E149" s="800"/>
    </row>
    <row r="150" spans="2:5" x14ac:dyDescent="0.2">
      <c r="B150" s="802">
        <v>14.5</v>
      </c>
      <c r="C150" s="801" t="s">
        <v>1024</v>
      </c>
      <c r="D150" s="797" t="str">
        <f t="shared" si="13"/>
        <v>14.5 - [Name of sub-vote]</v>
      </c>
      <c r="E150" s="800"/>
    </row>
    <row r="151" spans="2:5" x14ac:dyDescent="0.2">
      <c r="B151" s="802">
        <v>14.6</v>
      </c>
      <c r="C151" s="801" t="s">
        <v>1024</v>
      </c>
      <c r="D151" s="797" t="str">
        <f t="shared" si="13"/>
        <v>14.6 - [Name of sub-vote]</v>
      </c>
      <c r="E151" s="800"/>
    </row>
    <row r="152" spans="2:5" x14ac:dyDescent="0.2">
      <c r="B152" s="802">
        <v>14.7</v>
      </c>
      <c r="C152" s="801" t="s">
        <v>1024</v>
      </c>
      <c r="D152" s="797" t="str">
        <f t="shared" si="13"/>
        <v>14.7 - [Name of sub-vote]</v>
      </c>
      <c r="E152" s="800"/>
    </row>
    <row r="153" spans="2:5" x14ac:dyDescent="0.2">
      <c r="B153" s="802">
        <v>14.8</v>
      </c>
      <c r="C153" s="801" t="s">
        <v>1024</v>
      </c>
      <c r="D153" s="797" t="str">
        <f t="shared" si="13"/>
        <v>14.8 - [Name of sub-vote]</v>
      </c>
      <c r="E153" s="800"/>
    </row>
    <row r="154" spans="2:5" x14ac:dyDescent="0.2">
      <c r="B154" s="802">
        <v>14.9</v>
      </c>
      <c r="C154" s="801" t="s">
        <v>1024</v>
      </c>
      <c r="D154" s="797" t="str">
        <f t="shared" si="13"/>
        <v>14.9 - [Name of sub-vote]</v>
      </c>
      <c r="E154" s="800"/>
    </row>
    <row r="155" spans="2:5" x14ac:dyDescent="0.2">
      <c r="B155" s="802" t="s">
        <v>1028</v>
      </c>
      <c r="C155" s="801" t="s">
        <v>1024</v>
      </c>
      <c r="D155" s="797" t="str">
        <f t="shared" si="13"/>
        <v>14.10 - [Name of sub-vote]</v>
      </c>
      <c r="E155" s="800"/>
    </row>
    <row r="156" spans="2:5" x14ac:dyDescent="0.2">
      <c r="B156" s="804" t="s">
        <v>813</v>
      </c>
      <c r="C156" s="803" t="s">
        <v>1027</v>
      </c>
      <c r="E156" s="800"/>
    </row>
    <row r="157" spans="2:5" x14ac:dyDescent="0.2">
      <c r="B157" s="802">
        <v>15.1</v>
      </c>
      <c r="C157" s="801" t="s">
        <v>1024</v>
      </c>
      <c r="D157" s="797" t="str">
        <f t="shared" ref="D157:D166" si="14">CONCATENATE(B157, " - ", C157)</f>
        <v>15.1 - [Name of sub-vote]</v>
      </c>
      <c r="E157" s="800" t="s">
        <v>1026</v>
      </c>
    </row>
    <row r="158" spans="2:5" x14ac:dyDescent="0.2">
      <c r="B158" s="802">
        <v>15.2</v>
      </c>
      <c r="C158" s="801" t="s">
        <v>1024</v>
      </c>
      <c r="D158" s="797" t="str">
        <f t="shared" si="14"/>
        <v>15.2 - [Name of sub-vote]</v>
      </c>
      <c r="E158" s="800"/>
    </row>
    <row r="159" spans="2:5" x14ac:dyDescent="0.2">
      <c r="B159" s="802">
        <v>15.3</v>
      </c>
      <c r="C159" s="801" t="s">
        <v>1024</v>
      </c>
      <c r="D159" s="797" t="str">
        <f t="shared" si="14"/>
        <v>15.3 - [Name of sub-vote]</v>
      </c>
      <c r="E159" s="800"/>
    </row>
    <row r="160" spans="2:5" x14ac:dyDescent="0.2">
      <c r="B160" s="802">
        <v>15.4</v>
      </c>
      <c r="C160" s="801" t="s">
        <v>1024</v>
      </c>
      <c r="D160" s="797" t="str">
        <f t="shared" si="14"/>
        <v>15.4 - [Name of sub-vote]</v>
      </c>
      <c r="E160" s="800"/>
    </row>
    <row r="161" spans="2:5" x14ac:dyDescent="0.2">
      <c r="B161" s="802">
        <v>15.5</v>
      </c>
      <c r="C161" s="801" t="s">
        <v>1024</v>
      </c>
      <c r="D161" s="797" t="str">
        <f t="shared" si="14"/>
        <v>15.5 - [Name of sub-vote]</v>
      </c>
      <c r="E161" s="800"/>
    </row>
    <row r="162" spans="2:5" x14ac:dyDescent="0.2">
      <c r="B162" s="802">
        <v>15.6</v>
      </c>
      <c r="C162" s="801" t="s">
        <v>1024</v>
      </c>
      <c r="D162" s="797" t="str">
        <f t="shared" si="14"/>
        <v>15.6 - [Name of sub-vote]</v>
      </c>
      <c r="E162" s="800"/>
    </row>
    <row r="163" spans="2:5" x14ac:dyDescent="0.2">
      <c r="B163" s="802">
        <v>15.7</v>
      </c>
      <c r="C163" s="801" t="s">
        <v>1024</v>
      </c>
      <c r="D163" s="797" t="str">
        <f t="shared" si="14"/>
        <v>15.7 - [Name of sub-vote]</v>
      </c>
      <c r="E163" s="800"/>
    </row>
    <row r="164" spans="2:5" x14ac:dyDescent="0.2">
      <c r="B164" s="802">
        <v>15.8</v>
      </c>
      <c r="C164" s="801" t="s">
        <v>1024</v>
      </c>
      <c r="D164" s="797" t="str">
        <f t="shared" si="14"/>
        <v>15.8 - [Name of sub-vote]</v>
      </c>
      <c r="E164" s="800"/>
    </row>
    <row r="165" spans="2:5" x14ac:dyDescent="0.2">
      <c r="B165" s="802">
        <v>15.9</v>
      </c>
      <c r="C165" s="801" t="s">
        <v>1024</v>
      </c>
      <c r="D165" s="797" t="str">
        <f t="shared" si="14"/>
        <v>15.9 - [Name of sub-vote]</v>
      </c>
      <c r="E165" s="800"/>
    </row>
    <row r="166" spans="2:5" x14ac:dyDescent="0.2">
      <c r="B166" s="802" t="s">
        <v>1025</v>
      </c>
      <c r="C166" s="801" t="s">
        <v>1024</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64" workbookViewId="0">
      <selection activeCell="B74" sqref="B74"/>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LIM333 Greater Tzaneen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LIM333 Greater Tzaneen</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LIM LIMPOPO</v>
      </c>
      <c r="C8" s="997"/>
      <c r="D8" s="997"/>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t="s">
        <v>1432</v>
      </c>
      <c r="C10" s="846"/>
      <c r="D10" s="847"/>
      <c r="F10" s="824"/>
      <c r="G10" s="823"/>
      <c r="H10" s="824"/>
      <c r="I10" s="824"/>
      <c r="J10" s="823"/>
      <c r="K10" s="825"/>
      <c r="L10" s="825"/>
      <c r="M10" s="825"/>
      <c r="N10" s="825"/>
      <c r="O10" s="825"/>
      <c r="P10" s="826"/>
      <c r="Q10" s="827"/>
    </row>
    <row r="11" spans="1:17" ht="13.5" customHeight="1" x14ac:dyDescent="0.2">
      <c r="A11" s="848"/>
      <c r="B11" s="849"/>
      <c r="C11" s="998"/>
      <c r="D11" s="999"/>
      <c r="F11" s="824"/>
      <c r="G11" s="823"/>
      <c r="H11" s="824"/>
      <c r="I11" s="824"/>
      <c r="J11" s="823"/>
      <c r="K11" s="825"/>
      <c r="L11" s="825"/>
      <c r="M11" s="825"/>
      <c r="N11" s="825"/>
      <c r="O11" s="825"/>
      <c r="P11" s="826"/>
      <c r="Q11" s="830"/>
    </row>
    <row r="12" spans="1:17" ht="13.5" customHeight="1" x14ac:dyDescent="0.2">
      <c r="A12" s="844" t="s">
        <v>350</v>
      </c>
      <c r="B12" s="850" t="s">
        <v>1433</v>
      </c>
      <c r="C12" s="851"/>
      <c r="D12" s="851"/>
      <c r="F12" s="824"/>
      <c r="G12" s="824"/>
      <c r="H12" s="824"/>
      <c r="I12" s="824"/>
      <c r="J12" s="823"/>
      <c r="K12" s="825"/>
      <c r="L12" s="825"/>
      <c r="M12" s="825"/>
      <c r="N12" s="825"/>
      <c r="O12" s="825"/>
      <c r="P12" s="826"/>
      <c r="Q12" s="827"/>
    </row>
    <row r="13" spans="1:17" ht="13.5" customHeight="1" x14ac:dyDescent="0.2">
      <c r="A13" s="852"/>
      <c r="B13" s="853"/>
      <c r="C13" s="1000"/>
      <c r="D13" s="1000"/>
      <c r="F13" s="824"/>
      <c r="G13" s="824"/>
      <c r="H13" s="824"/>
      <c r="I13" s="854"/>
      <c r="J13" s="824"/>
      <c r="K13" s="825"/>
      <c r="L13" s="825"/>
      <c r="M13" s="825"/>
      <c r="N13" s="825"/>
      <c r="O13" s="825"/>
      <c r="P13" s="826"/>
    </row>
    <row r="14" spans="1:17" ht="13.5" customHeight="1" thickBot="1" x14ac:dyDescent="0.25">
      <c r="A14" s="1001" t="s">
        <v>351</v>
      </c>
      <c r="B14" s="1002"/>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t="s">
        <v>1434</v>
      </c>
      <c r="C16" s="813"/>
      <c r="D16" s="813"/>
      <c r="E16" s="835"/>
      <c r="F16" s="855"/>
      <c r="G16" s="854"/>
      <c r="H16" s="855"/>
      <c r="I16" s="855"/>
      <c r="J16" s="824"/>
      <c r="K16" s="825"/>
      <c r="L16" s="825"/>
      <c r="M16" s="825"/>
      <c r="N16" s="825"/>
      <c r="O16" s="825"/>
      <c r="P16" s="826"/>
      <c r="Q16" s="814"/>
    </row>
    <row r="17" spans="1:17" ht="13.5" customHeight="1" x14ac:dyDescent="0.2">
      <c r="A17" s="858" t="s">
        <v>354</v>
      </c>
      <c r="B17" s="859" t="s">
        <v>1435</v>
      </c>
      <c r="F17" s="855"/>
      <c r="G17" s="855"/>
      <c r="H17" s="855"/>
      <c r="I17" s="855"/>
      <c r="J17" s="854"/>
      <c r="K17" s="825"/>
      <c r="L17" s="825"/>
      <c r="M17" s="825"/>
      <c r="N17" s="825"/>
      <c r="O17" s="825"/>
      <c r="P17" s="826"/>
    </row>
    <row r="18" spans="1:17" ht="13.5" customHeight="1" x14ac:dyDescent="0.2">
      <c r="A18" s="860" t="s">
        <v>355</v>
      </c>
      <c r="B18" s="861" t="s">
        <v>1436</v>
      </c>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t="s">
        <v>1437</v>
      </c>
      <c r="F21" s="855"/>
      <c r="G21" s="855"/>
      <c r="H21" s="855"/>
      <c r="I21" s="855"/>
      <c r="J21" s="855"/>
      <c r="K21" s="825"/>
      <c r="L21" s="825"/>
      <c r="M21" s="825"/>
      <c r="N21" s="825"/>
      <c r="O21" s="825"/>
      <c r="P21" s="826"/>
    </row>
    <row r="22" spans="1:17" ht="13.5" customHeight="1" x14ac:dyDescent="0.2">
      <c r="A22" s="858" t="s">
        <v>358</v>
      </c>
      <c r="B22" s="859" t="s">
        <v>1438</v>
      </c>
      <c r="F22" s="855"/>
      <c r="G22" s="855"/>
      <c r="H22" s="855"/>
      <c r="I22" s="855"/>
      <c r="J22" s="855"/>
      <c r="K22" s="825"/>
      <c r="L22" s="825"/>
      <c r="M22" s="825"/>
      <c r="N22" s="825"/>
      <c r="O22" s="825"/>
      <c r="P22" s="826"/>
    </row>
    <row r="23" spans="1:17" ht="13.5" customHeight="1" x14ac:dyDescent="0.2">
      <c r="A23" s="858" t="s">
        <v>354</v>
      </c>
      <c r="B23" s="859" t="s">
        <v>1435</v>
      </c>
      <c r="F23" s="855"/>
      <c r="G23" s="855"/>
      <c r="H23" s="855"/>
      <c r="I23" s="855"/>
      <c r="J23" s="855"/>
      <c r="K23" s="825"/>
      <c r="L23" s="825"/>
      <c r="M23" s="825"/>
      <c r="N23" s="825"/>
      <c r="O23" s="825"/>
      <c r="P23" s="826"/>
    </row>
    <row r="24" spans="1:17" ht="13.5" customHeight="1" x14ac:dyDescent="0.2">
      <c r="A24" s="860" t="s">
        <v>355</v>
      </c>
      <c r="B24" s="861" t="s">
        <v>1436</v>
      </c>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t="s">
        <v>1439</v>
      </c>
      <c r="F27" s="855"/>
      <c r="G27" s="855"/>
      <c r="H27" s="855"/>
      <c r="I27" s="855"/>
      <c r="J27" s="855"/>
      <c r="K27" s="825"/>
      <c r="L27" s="825"/>
      <c r="M27" s="825"/>
      <c r="N27" s="825"/>
      <c r="O27" s="825"/>
      <c r="P27" s="826"/>
    </row>
    <row r="28" spans="1:17" ht="13.5" customHeight="1" x14ac:dyDescent="0.2">
      <c r="A28" s="860" t="s">
        <v>361</v>
      </c>
      <c r="B28" s="868" t="s">
        <v>1440</v>
      </c>
      <c r="J28" s="855"/>
      <c r="K28" s="855"/>
      <c r="L28" s="855"/>
      <c r="M28" s="855"/>
      <c r="N28" s="855"/>
      <c r="O28" s="855"/>
      <c r="P28" s="826"/>
    </row>
    <row r="29" spans="1:17" ht="13.5" customHeight="1" x14ac:dyDescent="0.2">
      <c r="A29" s="862"/>
      <c r="B29" s="869"/>
      <c r="P29" s="826"/>
    </row>
    <row r="30" spans="1:17" ht="13.5" customHeight="1" thickBot="1" x14ac:dyDescent="0.25">
      <c r="A30" s="1003" t="s">
        <v>362</v>
      </c>
      <c r="B30" s="1004"/>
      <c r="C30" s="1005"/>
      <c r="D30" s="1006"/>
      <c r="P30" s="826"/>
    </row>
    <row r="31" spans="1:17" ht="13.5" customHeight="1" thickTop="1" x14ac:dyDescent="0.2">
      <c r="A31" s="864" t="s">
        <v>363</v>
      </c>
      <c r="B31" s="865"/>
      <c r="C31" s="1007" t="s">
        <v>364</v>
      </c>
      <c r="D31" s="1011"/>
      <c r="P31" s="826"/>
    </row>
    <row r="32" spans="1:17" s="923" customFormat="1" ht="13.5" customHeight="1" x14ac:dyDescent="0.2">
      <c r="A32" s="918" t="s">
        <v>1124</v>
      </c>
      <c r="B32" s="919" t="s">
        <v>1441</v>
      </c>
      <c r="C32" s="918" t="s">
        <v>1124</v>
      </c>
      <c r="D32" s="919" t="s">
        <v>1447</v>
      </c>
      <c r="E32" s="920"/>
      <c r="F32" s="921"/>
      <c r="G32" s="921"/>
      <c r="H32" s="921"/>
      <c r="I32" s="647"/>
      <c r="J32" s="647"/>
      <c r="K32" s="647"/>
      <c r="L32" s="647"/>
      <c r="M32" s="647"/>
      <c r="N32" s="647"/>
      <c r="O32" s="647"/>
      <c r="P32" s="922"/>
      <c r="Q32" s="647"/>
    </row>
    <row r="33" spans="1:17" s="923" customFormat="1" ht="13.5" customHeight="1" x14ac:dyDescent="0.2">
      <c r="A33" s="918" t="s">
        <v>1125</v>
      </c>
      <c r="B33" s="919" t="s">
        <v>1442</v>
      </c>
      <c r="C33" s="918" t="s">
        <v>1125</v>
      </c>
      <c r="D33" s="919" t="s">
        <v>1442</v>
      </c>
      <c r="E33" s="920"/>
      <c r="F33" s="921"/>
      <c r="G33" s="921"/>
      <c r="H33" s="921"/>
      <c r="I33" s="647"/>
      <c r="J33" s="647"/>
      <c r="K33" s="647"/>
      <c r="L33" s="647"/>
      <c r="M33" s="647"/>
      <c r="N33" s="647"/>
      <c r="O33" s="647"/>
      <c r="P33" s="922"/>
      <c r="Q33" s="647"/>
    </row>
    <row r="34" spans="1:17" ht="13.5" customHeight="1" x14ac:dyDescent="0.2">
      <c r="A34" s="858" t="s">
        <v>365</v>
      </c>
      <c r="B34" s="870" t="s">
        <v>1443</v>
      </c>
      <c r="C34" s="858" t="s">
        <v>365</v>
      </c>
      <c r="D34" s="870" t="s">
        <v>1448</v>
      </c>
      <c r="P34" s="826"/>
    </row>
    <row r="35" spans="1:17" ht="13.5" customHeight="1" x14ac:dyDescent="0.2">
      <c r="A35" s="858" t="s">
        <v>360</v>
      </c>
      <c r="B35" s="870" t="s">
        <v>1444</v>
      </c>
      <c r="C35" s="858" t="s">
        <v>360</v>
      </c>
      <c r="D35" s="870" t="s">
        <v>1444</v>
      </c>
      <c r="F35" s="823"/>
      <c r="G35" s="825"/>
      <c r="P35" s="826"/>
    </row>
    <row r="36" spans="1:17" ht="13.5" customHeight="1" x14ac:dyDescent="0.2">
      <c r="A36" s="858" t="s">
        <v>366</v>
      </c>
      <c r="B36" s="870" t="s">
        <v>1445</v>
      </c>
      <c r="C36" s="858" t="s">
        <v>366</v>
      </c>
      <c r="D36" s="870" t="s">
        <v>1449</v>
      </c>
      <c r="F36" s="823"/>
      <c r="G36" s="825"/>
      <c r="P36" s="826"/>
    </row>
    <row r="37" spans="1:17" ht="13.5" customHeight="1" x14ac:dyDescent="0.2">
      <c r="A37" s="858" t="s">
        <v>361</v>
      </c>
      <c r="B37" s="870" t="s">
        <v>1440</v>
      </c>
      <c r="C37" s="858" t="s">
        <v>361</v>
      </c>
      <c r="D37" s="870" t="s">
        <v>1450</v>
      </c>
      <c r="F37" s="824"/>
      <c r="G37" s="825"/>
      <c r="P37" s="826"/>
    </row>
    <row r="38" spans="1:17" ht="13.5" customHeight="1" x14ac:dyDescent="0.2">
      <c r="A38" s="858" t="s">
        <v>367</v>
      </c>
      <c r="B38" s="870" t="s">
        <v>1446</v>
      </c>
      <c r="C38" s="858" t="s">
        <v>367</v>
      </c>
      <c r="D38" s="870" t="s">
        <v>1451</v>
      </c>
      <c r="F38" s="824"/>
      <c r="G38" s="825"/>
      <c r="P38" s="826"/>
    </row>
    <row r="39" spans="1:17" ht="13.5" customHeight="1" x14ac:dyDescent="0.2">
      <c r="A39" s="858"/>
      <c r="B39" s="870"/>
      <c r="C39" s="858"/>
      <c r="D39" s="870"/>
      <c r="F39" s="824"/>
      <c r="G39" s="825"/>
      <c r="P39" s="826"/>
    </row>
    <row r="40" spans="1:17" ht="13.5" customHeight="1" x14ac:dyDescent="0.2">
      <c r="A40" s="1009" t="s">
        <v>368</v>
      </c>
      <c r="B40" s="1012"/>
      <c r="C40" s="1009" t="s">
        <v>369</v>
      </c>
      <c r="D40" s="1012"/>
      <c r="F40" s="824"/>
      <c r="G40" s="825"/>
      <c r="P40" s="826"/>
    </row>
    <row r="41" spans="1:17" s="923" customFormat="1" ht="13.5" customHeight="1" x14ac:dyDescent="0.2">
      <c r="A41" s="918" t="s">
        <v>1124</v>
      </c>
      <c r="B41" s="919" t="s">
        <v>1452</v>
      </c>
      <c r="C41" s="918" t="s">
        <v>1124</v>
      </c>
      <c r="D41" s="919" t="s">
        <v>1458</v>
      </c>
      <c r="E41" s="920"/>
      <c r="F41" s="921"/>
      <c r="G41" s="921"/>
      <c r="H41" s="921"/>
      <c r="I41" s="647"/>
      <c r="J41" s="647"/>
      <c r="K41" s="647"/>
      <c r="L41" s="647"/>
      <c r="M41" s="647"/>
      <c r="N41" s="647"/>
      <c r="O41" s="647"/>
      <c r="P41" s="922"/>
      <c r="Q41" s="647"/>
    </row>
    <row r="42" spans="1:17" s="923" customFormat="1" ht="13.5" customHeight="1" x14ac:dyDescent="0.2">
      <c r="A42" s="918" t="s">
        <v>1125</v>
      </c>
      <c r="B42" s="919" t="s">
        <v>1453</v>
      </c>
      <c r="C42" s="918" t="s">
        <v>1125</v>
      </c>
      <c r="D42" s="919" t="s">
        <v>1453</v>
      </c>
      <c r="E42" s="920"/>
      <c r="F42" s="921"/>
      <c r="G42" s="921"/>
      <c r="H42" s="921"/>
      <c r="I42" s="647"/>
      <c r="J42" s="647"/>
      <c r="K42" s="647"/>
      <c r="L42" s="647"/>
      <c r="M42" s="647"/>
      <c r="N42" s="647"/>
      <c r="O42" s="647"/>
      <c r="P42" s="922"/>
      <c r="Q42" s="647"/>
    </row>
    <row r="43" spans="1:17" ht="13.5" customHeight="1" x14ac:dyDescent="0.2">
      <c r="A43" s="858" t="s">
        <v>365</v>
      </c>
      <c r="B43" s="859" t="s">
        <v>1454</v>
      </c>
      <c r="C43" s="858" t="s">
        <v>365</v>
      </c>
      <c r="D43" s="859" t="s">
        <v>1459</v>
      </c>
      <c r="F43" s="824"/>
      <c r="G43" s="825"/>
      <c r="P43" s="826"/>
    </row>
    <row r="44" spans="1:17" ht="13.5" customHeight="1" x14ac:dyDescent="0.2">
      <c r="A44" s="858" t="s">
        <v>360</v>
      </c>
      <c r="B44" s="859" t="s">
        <v>1455</v>
      </c>
      <c r="C44" s="858" t="s">
        <v>360</v>
      </c>
      <c r="D44" s="859" t="s">
        <v>1460</v>
      </c>
      <c r="F44" s="854"/>
      <c r="G44" s="825"/>
      <c r="P44" s="826"/>
    </row>
    <row r="45" spans="1:17" ht="13.5" customHeight="1" x14ac:dyDescent="0.2">
      <c r="A45" s="858" t="s">
        <v>366</v>
      </c>
      <c r="B45" s="859" t="s">
        <v>1456</v>
      </c>
      <c r="C45" s="858" t="s">
        <v>366</v>
      </c>
      <c r="D45" s="859" t="s">
        <v>1461</v>
      </c>
      <c r="F45" s="855"/>
      <c r="G45" s="825"/>
      <c r="P45" s="826"/>
    </row>
    <row r="46" spans="1:17" ht="13.5" customHeight="1" x14ac:dyDescent="0.2">
      <c r="A46" s="858" t="s">
        <v>361</v>
      </c>
      <c r="B46" s="859" t="s">
        <v>1440</v>
      </c>
      <c r="C46" s="858" t="s">
        <v>361</v>
      </c>
      <c r="D46" s="859" t="s">
        <v>1440</v>
      </c>
      <c r="F46" s="855"/>
      <c r="G46" s="825"/>
      <c r="P46" s="826"/>
    </row>
    <row r="47" spans="1:17" ht="13.5" customHeight="1" x14ac:dyDescent="0.2">
      <c r="A47" s="871" t="s">
        <v>367</v>
      </c>
      <c r="B47" s="872" t="s">
        <v>1457</v>
      </c>
      <c r="C47" s="871" t="s">
        <v>367</v>
      </c>
      <c r="D47" s="872" t="s">
        <v>1462</v>
      </c>
      <c r="F47" s="855"/>
      <c r="G47" s="825"/>
      <c r="P47" s="826"/>
    </row>
    <row r="48" spans="1:17" ht="13.5" customHeight="1" x14ac:dyDescent="0.2">
      <c r="A48" s="862"/>
      <c r="B48" s="869"/>
      <c r="C48" s="862"/>
      <c r="D48" s="869"/>
      <c r="F48" s="855"/>
      <c r="G48" s="825"/>
      <c r="P48" s="826"/>
    </row>
    <row r="49" spans="1:17" ht="13.5" customHeight="1" x14ac:dyDescent="0.2">
      <c r="A49" s="1009" t="s">
        <v>370</v>
      </c>
      <c r="B49" s="1012"/>
      <c r="C49" s="1009" t="s">
        <v>371</v>
      </c>
      <c r="D49" s="1012"/>
      <c r="F49" s="855"/>
      <c r="G49" s="825"/>
      <c r="P49" s="826"/>
    </row>
    <row r="50" spans="1:17" s="923" customFormat="1" ht="13.5" customHeight="1" x14ac:dyDescent="0.2">
      <c r="A50" s="918" t="s">
        <v>1124</v>
      </c>
      <c r="B50" s="919"/>
      <c r="C50" s="918" t="s">
        <v>1124</v>
      </c>
      <c r="D50" s="919"/>
      <c r="E50" s="920"/>
      <c r="F50" s="921"/>
      <c r="G50" s="921"/>
      <c r="H50" s="921"/>
      <c r="I50" s="647"/>
      <c r="J50" s="647"/>
      <c r="K50" s="647"/>
      <c r="L50" s="647"/>
      <c r="M50" s="647"/>
      <c r="N50" s="647"/>
      <c r="O50" s="647"/>
      <c r="P50" s="922"/>
      <c r="Q50" s="647"/>
    </row>
    <row r="51" spans="1:17" s="923" customFormat="1" ht="13.5" customHeight="1" x14ac:dyDescent="0.2">
      <c r="A51" s="918" t="s">
        <v>1125</v>
      </c>
      <c r="B51" s="919"/>
      <c r="C51" s="918" t="s">
        <v>1125</v>
      </c>
      <c r="D51" s="919"/>
      <c r="E51" s="920"/>
      <c r="F51" s="921"/>
      <c r="G51" s="921"/>
      <c r="H51" s="921"/>
      <c r="I51" s="647"/>
      <c r="J51" s="647"/>
      <c r="K51" s="647"/>
      <c r="L51" s="647"/>
      <c r="M51" s="647"/>
      <c r="N51" s="647"/>
      <c r="O51" s="647"/>
      <c r="P51" s="922"/>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3" t="s">
        <v>372</v>
      </c>
      <c r="B58" s="1014"/>
      <c r="C58" s="1005"/>
      <c r="D58" s="1015"/>
      <c r="E58" s="813"/>
      <c r="F58" s="855"/>
      <c r="G58" s="825"/>
      <c r="P58" s="826"/>
    </row>
    <row r="59" spans="1:17" s="875" customFormat="1" ht="13.5" customHeight="1" thickTop="1" x14ac:dyDescent="0.2">
      <c r="A59" s="864" t="s">
        <v>373</v>
      </c>
      <c r="B59" s="865"/>
      <c r="C59" s="1007" t="s">
        <v>374</v>
      </c>
      <c r="D59" s="1008"/>
      <c r="E59" s="815"/>
      <c r="F59" s="873"/>
      <c r="G59" s="874"/>
      <c r="P59" s="826"/>
      <c r="Q59" s="814"/>
    </row>
    <row r="60" spans="1:17" s="923" customFormat="1" ht="13.5" customHeight="1" x14ac:dyDescent="0.2">
      <c r="A60" s="918" t="s">
        <v>1124</v>
      </c>
      <c r="B60" s="919" t="s">
        <v>1580</v>
      </c>
      <c r="C60" s="918" t="s">
        <v>1124</v>
      </c>
      <c r="D60" s="919" t="s">
        <v>1467</v>
      </c>
      <c r="E60" s="920"/>
      <c r="F60" s="921"/>
      <c r="G60" s="921"/>
      <c r="H60" s="921"/>
      <c r="I60" s="647"/>
      <c r="J60" s="647"/>
      <c r="K60" s="647"/>
      <c r="L60" s="647"/>
      <c r="M60" s="647"/>
      <c r="N60" s="647"/>
      <c r="O60" s="647"/>
      <c r="P60" s="922"/>
      <c r="Q60" s="647"/>
    </row>
    <row r="61" spans="1:17" s="923" customFormat="1" ht="13.5" customHeight="1" x14ac:dyDescent="0.2">
      <c r="A61" s="918" t="s">
        <v>1125</v>
      </c>
      <c r="B61" s="919" t="s">
        <v>1453</v>
      </c>
      <c r="C61" s="918" t="s">
        <v>1125</v>
      </c>
      <c r="D61" s="919" t="s">
        <v>1468</v>
      </c>
      <c r="E61" s="920"/>
      <c r="F61" s="921"/>
      <c r="G61" s="921"/>
      <c r="H61" s="921"/>
      <c r="I61" s="647"/>
      <c r="J61" s="647"/>
      <c r="K61" s="647"/>
      <c r="L61" s="647"/>
      <c r="M61" s="647"/>
      <c r="N61" s="647"/>
      <c r="O61" s="647"/>
      <c r="P61" s="922"/>
      <c r="Q61" s="647"/>
    </row>
    <row r="62" spans="1:17" s="875" customFormat="1" ht="13.5" customHeight="1" x14ac:dyDescent="0.2">
      <c r="A62" s="858" t="s">
        <v>365</v>
      </c>
      <c r="B62" s="859" t="s">
        <v>1463</v>
      </c>
      <c r="C62" s="858" t="s">
        <v>365</v>
      </c>
      <c r="D62" s="859" t="s">
        <v>1469</v>
      </c>
      <c r="E62" s="815"/>
      <c r="F62" s="873"/>
      <c r="G62" s="874"/>
      <c r="P62" s="826"/>
      <c r="Q62" s="814"/>
    </row>
    <row r="63" spans="1:17" s="814" customFormat="1" ht="13.5" customHeight="1" x14ac:dyDescent="0.2">
      <c r="A63" s="858" t="s">
        <v>360</v>
      </c>
      <c r="B63" s="859" t="s">
        <v>1464</v>
      </c>
      <c r="C63" s="858" t="s">
        <v>360</v>
      </c>
      <c r="D63" s="859" t="s">
        <v>1470</v>
      </c>
      <c r="E63" s="813"/>
      <c r="F63" s="855"/>
      <c r="G63" s="825"/>
      <c r="P63" s="826"/>
    </row>
    <row r="64" spans="1:17" s="814" customFormat="1" ht="13.5" customHeight="1" x14ac:dyDescent="0.2">
      <c r="A64" s="858" t="s">
        <v>366</v>
      </c>
      <c r="B64" s="859" t="s">
        <v>1465</v>
      </c>
      <c r="C64" s="858" t="s">
        <v>366</v>
      </c>
      <c r="D64" s="859" t="s">
        <v>1471</v>
      </c>
      <c r="E64" s="813"/>
      <c r="F64" s="855"/>
      <c r="G64" s="825"/>
      <c r="P64" s="826"/>
    </row>
    <row r="65" spans="1:17" s="814" customFormat="1" ht="13.5" customHeight="1" x14ac:dyDescent="0.2">
      <c r="A65" s="858" t="s">
        <v>361</v>
      </c>
      <c r="B65" s="859" t="s">
        <v>1440</v>
      </c>
      <c r="C65" s="858" t="s">
        <v>361</v>
      </c>
      <c r="D65" s="859" t="s">
        <v>1440</v>
      </c>
      <c r="E65" s="813"/>
      <c r="F65" s="855"/>
      <c r="G65" s="825"/>
      <c r="P65" s="826"/>
    </row>
    <row r="66" spans="1:17" ht="13.5" customHeight="1" x14ac:dyDescent="0.2">
      <c r="A66" s="860" t="s">
        <v>367</v>
      </c>
      <c r="B66" s="868" t="s">
        <v>1466</v>
      </c>
      <c r="C66" s="860" t="s">
        <v>367</v>
      </c>
      <c r="D66" s="868" t="s">
        <v>1472</v>
      </c>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09" t="s">
        <v>376</v>
      </c>
      <c r="D68" s="1010"/>
      <c r="F68" s="855"/>
      <c r="G68" s="825"/>
      <c r="P68" s="826"/>
    </row>
    <row r="69" spans="1:17" s="923" customFormat="1" ht="13.5" customHeight="1" x14ac:dyDescent="0.2">
      <c r="A69" s="918" t="s">
        <v>1124</v>
      </c>
      <c r="B69" s="919" t="s">
        <v>1581</v>
      </c>
      <c r="C69" s="918" t="s">
        <v>1124</v>
      </c>
      <c r="D69" s="919" t="s">
        <v>1476</v>
      </c>
      <c r="E69" s="920"/>
      <c r="F69" s="921"/>
      <c r="G69" s="921"/>
      <c r="H69" s="921"/>
      <c r="I69" s="647"/>
      <c r="J69" s="647"/>
      <c r="K69" s="647"/>
      <c r="L69" s="647"/>
      <c r="M69" s="647"/>
      <c r="N69" s="647"/>
      <c r="O69" s="647"/>
      <c r="P69" s="922"/>
      <c r="Q69" s="647"/>
    </row>
    <row r="70" spans="1:17" s="923" customFormat="1" ht="13.5" customHeight="1" x14ac:dyDescent="0.2">
      <c r="A70" s="918" t="s">
        <v>1125</v>
      </c>
      <c r="B70" s="919" t="s">
        <v>1442</v>
      </c>
      <c r="C70" s="918" t="s">
        <v>1125</v>
      </c>
      <c r="D70" s="919" t="s">
        <v>1442</v>
      </c>
      <c r="E70" s="920"/>
      <c r="F70" s="921"/>
      <c r="G70" s="921"/>
      <c r="H70" s="921"/>
      <c r="I70" s="647"/>
      <c r="J70" s="647"/>
      <c r="K70" s="647"/>
      <c r="L70" s="647"/>
      <c r="M70" s="647"/>
      <c r="N70" s="647"/>
      <c r="O70" s="647"/>
      <c r="P70" s="922"/>
      <c r="Q70" s="647"/>
    </row>
    <row r="71" spans="1:17" s="877" customFormat="1" ht="13.5" customHeight="1" x14ac:dyDescent="0.2">
      <c r="A71" s="858" t="s">
        <v>365</v>
      </c>
      <c r="B71" s="859" t="s">
        <v>1473</v>
      </c>
      <c r="C71" s="858" t="s">
        <v>365</v>
      </c>
      <c r="D71" s="859" t="s">
        <v>1477</v>
      </c>
      <c r="E71" s="815"/>
      <c r="F71" s="873"/>
      <c r="G71" s="874"/>
      <c r="H71" s="875"/>
      <c r="I71" s="875"/>
      <c r="J71" s="875"/>
      <c r="K71" s="875"/>
      <c r="L71" s="875"/>
      <c r="M71" s="875"/>
      <c r="N71" s="875"/>
      <c r="O71" s="875"/>
      <c r="P71" s="826"/>
      <c r="Q71" s="814"/>
    </row>
    <row r="72" spans="1:17" ht="13.5" customHeight="1" x14ac:dyDescent="0.2">
      <c r="A72" s="858" t="s">
        <v>360</v>
      </c>
      <c r="B72" s="859" t="s">
        <v>1474</v>
      </c>
      <c r="C72" s="858" t="s">
        <v>360</v>
      </c>
      <c r="D72" s="859" t="s">
        <v>1474</v>
      </c>
      <c r="F72" s="855"/>
      <c r="G72" s="825"/>
      <c r="P72" s="826"/>
    </row>
    <row r="73" spans="1:17" ht="13.5" customHeight="1" x14ac:dyDescent="0.2">
      <c r="A73" s="858" t="s">
        <v>366</v>
      </c>
      <c r="B73" s="859" t="s">
        <v>1475</v>
      </c>
      <c r="C73" s="858" t="s">
        <v>366</v>
      </c>
      <c r="D73" s="859" t="s">
        <v>1478</v>
      </c>
      <c r="F73" s="855"/>
      <c r="G73" s="825"/>
      <c r="P73" s="826"/>
    </row>
    <row r="74" spans="1:17" ht="13.5" customHeight="1" x14ac:dyDescent="0.2">
      <c r="A74" s="858" t="s">
        <v>361</v>
      </c>
      <c r="B74" s="859">
        <v>153078049</v>
      </c>
      <c r="C74" s="858" t="s">
        <v>361</v>
      </c>
      <c r="D74" s="859" t="s">
        <v>1440</v>
      </c>
      <c r="F74" s="855"/>
      <c r="G74" s="825"/>
      <c r="P74" s="826"/>
    </row>
    <row r="75" spans="1:17" ht="13.5" customHeight="1" x14ac:dyDescent="0.2">
      <c r="A75" s="860" t="s">
        <v>367</v>
      </c>
      <c r="B75" s="868" t="s">
        <v>1433</v>
      </c>
      <c r="C75" s="860" t="s">
        <v>367</v>
      </c>
      <c r="D75" s="868" t="s">
        <v>1479</v>
      </c>
      <c r="F75" s="855"/>
      <c r="G75" s="825"/>
      <c r="P75" s="826"/>
    </row>
    <row r="76" spans="1:17" ht="13.5" customHeight="1" x14ac:dyDescent="0.2">
      <c r="A76" s="862"/>
      <c r="B76" s="869"/>
      <c r="C76" s="862"/>
      <c r="D76" s="869"/>
      <c r="F76" s="855"/>
      <c r="G76" s="825"/>
      <c r="P76" s="826"/>
    </row>
    <row r="77" spans="1:17" s="923" customFormat="1" ht="13.5" customHeight="1" x14ac:dyDescent="0.2">
      <c r="A77" s="993" t="s">
        <v>377</v>
      </c>
      <c r="B77" s="994"/>
      <c r="C77" s="993" t="s">
        <v>377</v>
      </c>
      <c r="D77" s="994"/>
      <c r="E77" s="920"/>
      <c r="F77" s="924"/>
      <c r="G77" s="925"/>
      <c r="H77" s="921"/>
      <c r="I77" s="647"/>
      <c r="J77" s="647"/>
      <c r="K77" s="647"/>
      <c r="L77" s="647"/>
      <c r="M77" s="647"/>
      <c r="N77" s="647"/>
      <c r="O77" s="647"/>
      <c r="P77" s="922"/>
      <c r="Q77" s="921"/>
    </row>
    <row r="78" spans="1:17" s="923" customFormat="1" ht="13.5" customHeight="1" x14ac:dyDescent="0.2">
      <c r="A78" s="918" t="s">
        <v>1124</v>
      </c>
      <c r="B78" s="919" t="s">
        <v>1480</v>
      </c>
      <c r="C78" s="918" t="s">
        <v>1124</v>
      </c>
      <c r="D78" s="919" t="s">
        <v>1485</v>
      </c>
      <c r="E78" s="920"/>
      <c r="F78" s="921"/>
      <c r="G78" s="921"/>
      <c r="H78" s="921"/>
      <c r="I78" s="647"/>
      <c r="J78" s="647"/>
      <c r="K78" s="647"/>
      <c r="L78" s="647"/>
      <c r="M78" s="647"/>
      <c r="N78" s="647"/>
      <c r="O78" s="647"/>
      <c r="P78" s="922"/>
      <c r="Q78" s="647"/>
    </row>
    <row r="79" spans="1:17" s="923" customFormat="1" ht="13.5" customHeight="1" x14ac:dyDescent="0.2">
      <c r="A79" s="918" t="s">
        <v>1125</v>
      </c>
      <c r="B79" s="919" t="s">
        <v>1453</v>
      </c>
      <c r="C79" s="918" t="s">
        <v>1125</v>
      </c>
      <c r="D79" s="919" t="s">
        <v>1468</v>
      </c>
      <c r="E79" s="920"/>
      <c r="F79" s="921"/>
      <c r="G79" s="921"/>
      <c r="H79" s="921"/>
      <c r="I79" s="647"/>
      <c r="J79" s="647"/>
      <c r="K79" s="647"/>
      <c r="L79" s="647"/>
      <c r="M79" s="647"/>
      <c r="N79" s="647"/>
      <c r="O79" s="647"/>
      <c r="P79" s="922"/>
      <c r="Q79" s="647"/>
    </row>
    <row r="80" spans="1:17" s="931" customFormat="1" ht="13.5" customHeight="1" x14ac:dyDescent="0.2">
      <c r="A80" s="918" t="s">
        <v>365</v>
      </c>
      <c r="B80" s="919" t="s">
        <v>1481</v>
      </c>
      <c r="C80" s="918" t="s">
        <v>365</v>
      </c>
      <c r="D80" s="919" t="s">
        <v>1486</v>
      </c>
      <c r="E80" s="926"/>
      <c r="F80" s="927"/>
      <c r="G80" s="928"/>
      <c r="H80" s="929"/>
      <c r="I80" s="930"/>
      <c r="J80" s="930"/>
      <c r="K80" s="930"/>
      <c r="L80" s="930"/>
      <c r="M80" s="930"/>
      <c r="N80" s="930"/>
      <c r="O80" s="930"/>
      <c r="P80" s="922"/>
      <c r="Q80" s="921"/>
    </row>
    <row r="81" spans="1:17" s="923" customFormat="1" ht="13.5" customHeight="1" x14ac:dyDescent="0.2">
      <c r="A81" s="918" t="s">
        <v>360</v>
      </c>
      <c r="B81" s="919" t="s">
        <v>1482</v>
      </c>
      <c r="C81" s="918" t="s">
        <v>360</v>
      </c>
      <c r="D81" s="919" t="s">
        <v>1487</v>
      </c>
      <c r="E81" s="920"/>
      <c r="F81" s="924"/>
      <c r="G81" s="925"/>
      <c r="H81" s="921"/>
      <c r="I81" s="647"/>
      <c r="J81" s="647"/>
      <c r="K81" s="647"/>
      <c r="L81" s="647"/>
      <c r="M81" s="647"/>
      <c r="N81" s="647"/>
      <c r="O81" s="647"/>
      <c r="P81" s="922"/>
      <c r="Q81" s="921"/>
    </row>
    <row r="82" spans="1:17" s="923" customFormat="1" ht="13.5" customHeight="1" x14ac:dyDescent="0.2">
      <c r="A82" s="918" t="s">
        <v>366</v>
      </c>
      <c r="B82" s="919" t="s">
        <v>1483</v>
      </c>
      <c r="C82" s="918" t="s">
        <v>366</v>
      </c>
      <c r="D82" s="919" t="s">
        <v>1488</v>
      </c>
      <c r="E82" s="920"/>
      <c r="F82" s="924"/>
      <c r="G82" s="925"/>
      <c r="H82" s="921"/>
      <c r="I82" s="647"/>
      <c r="J82" s="647"/>
      <c r="K82" s="647"/>
      <c r="L82" s="647"/>
      <c r="M82" s="647"/>
      <c r="N82" s="647"/>
      <c r="O82" s="647"/>
      <c r="P82" s="922"/>
      <c r="Q82" s="921"/>
    </row>
    <row r="83" spans="1:17" s="923" customFormat="1" ht="13.5" customHeight="1" x14ac:dyDescent="0.2">
      <c r="A83" s="918" t="s">
        <v>361</v>
      </c>
      <c r="B83" s="919" t="s">
        <v>1440</v>
      </c>
      <c r="C83" s="918" t="s">
        <v>361</v>
      </c>
      <c r="D83" s="919" t="s">
        <v>1489</v>
      </c>
      <c r="E83" s="920"/>
      <c r="F83" s="924"/>
      <c r="G83" s="925"/>
      <c r="H83" s="921"/>
      <c r="I83" s="647"/>
      <c r="J83" s="647"/>
      <c r="K83" s="647"/>
      <c r="L83" s="647"/>
      <c r="M83" s="647"/>
      <c r="N83" s="647"/>
      <c r="O83" s="647"/>
      <c r="P83" s="922"/>
      <c r="Q83" s="921"/>
    </row>
    <row r="84" spans="1:17" s="923" customFormat="1" ht="13.5" customHeight="1" x14ac:dyDescent="0.2">
      <c r="A84" s="918" t="s">
        <v>367</v>
      </c>
      <c r="B84" s="919" t="s">
        <v>1484</v>
      </c>
      <c r="C84" s="918" t="s">
        <v>367</v>
      </c>
      <c r="D84" s="919" t="s">
        <v>1490</v>
      </c>
      <c r="E84" s="920"/>
      <c r="F84" s="924"/>
      <c r="G84" s="925"/>
      <c r="H84" s="921"/>
      <c r="I84" s="647"/>
      <c r="J84" s="647"/>
      <c r="K84" s="647"/>
      <c r="L84" s="647"/>
      <c r="M84" s="647"/>
      <c r="N84" s="647"/>
      <c r="O84" s="647"/>
      <c r="P84" s="922"/>
      <c r="Q84" s="921"/>
    </row>
    <row r="85" spans="1:17" s="923" customFormat="1" ht="13.5" customHeight="1" x14ac:dyDescent="0.2">
      <c r="A85" s="993" t="s">
        <v>377</v>
      </c>
      <c r="B85" s="994"/>
      <c r="C85" s="993" t="s">
        <v>377</v>
      </c>
      <c r="D85" s="994"/>
      <c r="E85" s="920"/>
      <c r="F85" s="924"/>
      <c r="G85" s="925"/>
      <c r="H85" s="921"/>
      <c r="I85" s="647"/>
      <c r="J85" s="647"/>
      <c r="K85" s="647"/>
      <c r="L85" s="647"/>
      <c r="M85" s="647"/>
      <c r="N85" s="647"/>
      <c r="O85" s="647"/>
      <c r="P85" s="922"/>
      <c r="Q85" s="921"/>
    </row>
    <row r="86" spans="1:17" s="923" customFormat="1" ht="13.5" customHeight="1" x14ac:dyDescent="0.2">
      <c r="A86" s="918" t="s">
        <v>1124</v>
      </c>
      <c r="B86" s="919" t="s">
        <v>1491</v>
      </c>
      <c r="C86" s="918" t="s">
        <v>1124</v>
      </c>
      <c r="D86" s="919" t="s">
        <v>1495</v>
      </c>
      <c r="E86" s="920"/>
      <c r="F86" s="921"/>
      <c r="G86" s="921"/>
      <c r="H86" s="921"/>
      <c r="I86" s="647"/>
      <c r="J86" s="647"/>
      <c r="K86" s="647"/>
      <c r="L86" s="647"/>
      <c r="M86" s="647"/>
      <c r="N86" s="647"/>
      <c r="O86" s="647"/>
      <c r="P86" s="922"/>
      <c r="Q86" s="647"/>
    </row>
    <row r="87" spans="1:17" s="923" customFormat="1" ht="13.5" customHeight="1" x14ac:dyDescent="0.2">
      <c r="A87" s="918" t="s">
        <v>1125</v>
      </c>
      <c r="B87" s="919" t="s">
        <v>1453</v>
      </c>
      <c r="C87" s="918" t="s">
        <v>1125</v>
      </c>
      <c r="D87" s="919" t="s">
        <v>1468</v>
      </c>
      <c r="E87" s="920"/>
      <c r="F87" s="921"/>
      <c r="G87" s="921"/>
      <c r="H87" s="921"/>
      <c r="I87" s="647"/>
      <c r="J87" s="647"/>
      <c r="K87" s="647"/>
      <c r="L87" s="647"/>
      <c r="M87" s="647"/>
      <c r="N87" s="647"/>
      <c r="O87" s="647"/>
      <c r="P87" s="922"/>
      <c r="Q87" s="647"/>
    </row>
    <row r="88" spans="1:17" s="923" customFormat="1" ht="13.5" customHeight="1" x14ac:dyDescent="0.2">
      <c r="A88" s="918" t="s">
        <v>365</v>
      </c>
      <c r="B88" s="919" t="s">
        <v>1492</v>
      </c>
      <c r="C88" s="918" t="s">
        <v>365</v>
      </c>
      <c r="D88" s="919" t="s">
        <v>1496</v>
      </c>
      <c r="E88" s="920"/>
      <c r="F88" s="924"/>
      <c r="G88" s="925"/>
      <c r="H88" s="921"/>
      <c r="I88" s="647"/>
      <c r="J88" s="647"/>
      <c r="K88" s="647"/>
      <c r="L88" s="647"/>
      <c r="M88" s="647"/>
      <c r="N88" s="647"/>
      <c r="O88" s="647"/>
      <c r="P88" s="922"/>
      <c r="Q88" s="921"/>
    </row>
    <row r="89" spans="1:17" s="923" customFormat="1" ht="13.5" customHeight="1" x14ac:dyDescent="0.2">
      <c r="A89" s="918" t="s">
        <v>360</v>
      </c>
      <c r="B89" s="919" t="s">
        <v>1493</v>
      </c>
      <c r="C89" s="918" t="s">
        <v>360</v>
      </c>
      <c r="D89" s="919" t="s">
        <v>1497</v>
      </c>
      <c r="E89" s="920"/>
      <c r="F89" s="924"/>
      <c r="G89" s="925"/>
      <c r="H89" s="921"/>
      <c r="I89" s="647"/>
      <c r="J89" s="647"/>
      <c r="K89" s="647"/>
      <c r="L89" s="647"/>
      <c r="M89" s="647"/>
      <c r="N89" s="647"/>
      <c r="O89" s="647"/>
      <c r="P89" s="922"/>
      <c r="Q89" s="921"/>
    </row>
    <row r="90" spans="1:17" s="921" customFormat="1" ht="13.5" customHeight="1" x14ac:dyDescent="0.2">
      <c r="A90" s="918" t="s">
        <v>366</v>
      </c>
      <c r="B90" s="919"/>
      <c r="C90" s="918" t="s">
        <v>366</v>
      </c>
      <c r="D90" s="919" t="s">
        <v>1498</v>
      </c>
      <c r="E90" s="920"/>
      <c r="F90" s="924"/>
      <c r="G90" s="925"/>
      <c r="I90" s="647"/>
      <c r="J90" s="647"/>
      <c r="K90" s="647"/>
      <c r="L90" s="647"/>
      <c r="M90" s="647"/>
      <c r="N90" s="647"/>
      <c r="O90" s="647"/>
      <c r="P90" s="922"/>
    </row>
    <row r="91" spans="1:17" s="921" customFormat="1" ht="13.5" customHeight="1" x14ac:dyDescent="0.2">
      <c r="A91" s="918" t="s">
        <v>361</v>
      </c>
      <c r="B91" s="919" t="s">
        <v>1440</v>
      </c>
      <c r="C91" s="918" t="s">
        <v>361</v>
      </c>
      <c r="D91" s="919" t="s">
        <v>1489</v>
      </c>
      <c r="E91" s="920"/>
      <c r="F91" s="924"/>
      <c r="G91" s="925"/>
      <c r="I91" s="647"/>
      <c r="J91" s="647"/>
      <c r="K91" s="647"/>
      <c r="L91" s="647"/>
      <c r="M91" s="647"/>
      <c r="N91" s="647"/>
      <c r="O91" s="647"/>
      <c r="P91" s="922"/>
    </row>
    <row r="92" spans="1:17" s="921" customFormat="1" ht="13.5" customHeight="1" x14ac:dyDescent="0.2">
      <c r="A92" s="918" t="s">
        <v>367</v>
      </c>
      <c r="B92" s="919" t="s">
        <v>1494</v>
      </c>
      <c r="C92" s="918" t="s">
        <v>367</v>
      </c>
      <c r="D92" s="919" t="s">
        <v>1499</v>
      </c>
      <c r="E92" s="920"/>
      <c r="F92" s="924"/>
      <c r="G92" s="925"/>
      <c r="I92" s="647"/>
      <c r="J92" s="647"/>
      <c r="K92" s="647"/>
      <c r="L92" s="647"/>
      <c r="M92" s="647"/>
      <c r="N92" s="647"/>
      <c r="O92" s="647"/>
      <c r="P92" s="922"/>
    </row>
    <row r="93" spans="1:17" s="921" customFormat="1" ht="13.5" customHeight="1" x14ac:dyDescent="0.2">
      <c r="A93" s="993" t="s">
        <v>377</v>
      </c>
      <c r="B93" s="994"/>
      <c r="C93" s="993" t="s">
        <v>377</v>
      </c>
      <c r="D93" s="994"/>
      <c r="E93" s="920"/>
      <c r="F93" s="924"/>
      <c r="G93" s="925"/>
      <c r="I93" s="647"/>
      <c r="J93" s="647"/>
      <c r="K93" s="647"/>
      <c r="L93" s="647"/>
      <c r="M93" s="647"/>
      <c r="N93" s="647"/>
      <c r="O93" s="647"/>
      <c r="P93" s="922"/>
    </row>
    <row r="94" spans="1:17" s="923" customFormat="1" ht="13.5" customHeight="1" x14ac:dyDescent="0.2">
      <c r="A94" s="918" t="s">
        <v>1124</v>
      </c>
      <c r="B94" s="919" t="s">
        <v>1500</v>
      </c>
      <c r="C94" s="918" t="s">
        <v>1124</v>
      </c>
      <c r="D94" s="919" t="s">
        <v>1505</v>
      </c>
      <c r="E94" s="920"/>
      <c r="F94" s="921"/>
      <c r="G94" s="921"/>
      <c r="H94" s="921"/>
      <c r="I94" s="647"/>
      <c r="J94" s="647"/>
      <c r="K94" s="647"/>
      <c r="L94" s="647"/>
      <c r="M94" s="647"/>
      <c r="N94" s="647"/>
      <c r="O94" s="647"/>
      <c r="P94" s="922"/>
      <c r="Q94" s="647"/>
    </row>
    <row r="95" spans="1:17" s="923" customFormat="1" ht="13.5" customHeight="1" x14ac:dyDescent="0.2">
      <c r="A95" s="918" t="s">
        <v>1125</v>
      </c>
      <c r="B95" s="919" t="s">
        <v>1442</v>
      </c>
      <c r="C95" s="918" t="s">
        <v>1125</v>
      </c>
      <c r="D95" s="919" t="s">
        <v>1442</v>
      </c>
      <c r="E95" s="920"/>
      <c r="F95" s="921"/>
      <c r="G95" s="921"/>
      <c r="H95" s="921"/>
      <c r="I95" s="647"/>
      <c r="J95" s="647"/>
      <c r="K95" s="647"/>
      <c r="L95" s="647"/>
      <c r="M95" s="647"/>
      <c r="N95" s="647"/>
      <c r="O95" s="647"/>
      <c r="P95" s="922"/>
      <c r="Q95" s="647"/>
    </row>
    <row r="96" spans="1:17" s="921" customFormat="1" ht="13.5" customHeight="1" x14ac:dyDescent="0.2">
      <c r="A96" s="918" t="s">
        <v>365</v>
      </c>
      <c r="B96" s="919" t="s">
        <v>1501</v>
      </c>
      <c r="C96" s="918" t="s">
        <v>365</v>
      </c>
      <c r="D96" s="919" t="s">
        <v>1506</v>
      </c>
      <c r="E96" s="920"/>
      <c r="F96" s="924"/>
      <c r="G96" s="925"/>
      <c r="I96" s="647"/>
      <c r="J96" s="647"/>
      <c r="K96" s="647"/>
      <c r="L96" s="647"/>
      <c r="M96" s="647"/>
      <c r="N96" s="647"/>
      <c r="O96" s="647"/>
      <c r="P96" s="922"/>
    </row>
    <row r="97" spans="1:17" s="921" customFormat="1" ht="13.5" customHeight="1" x14ac:dyDescent="0.2">
      <c r="A97" s="918" t="s">
        <v>360</v>
      </c>
      <c r="B97" s="919" t="s">
        <v>1502</v>
      </c>
      <c r="C97" s="918" t="s">
        <v>360</v>
      </c>
      <c r="D97" s="919" t="s">
        <v>1507</v>
      </c>
      <c r="E97" s="920"/>
      <c r="F97" s="924"/>
      <c r="G97" s="925"/>
      <c r="I97" s="647"/>
      <c r="J97" s="647"/>
      <c r="K97" s="647"/>
      <c r="L97" s="647"/>
      <c r="M97" s="647"/>
      <c r="N97" s="647"/>
      <c r="O97" s="647"/>
      <c r="P97" s="922"/>
    </row>
    <row r="98" spans="1:17" s="921" customFormat="1" ht="13.5" customHeight="1" x14ac:dyDescent="0.2">
      <c r="A98" s="918" t="s">
        <v>366</v>
      </c>
      <c r="B98" s="919" t="s">
        <v>1503</v>
      </c>
      <c r="C98" s="918" t="s">
        <v>366</v>
      </c>
      <c r="D98" s="919" t="s">
        <v>1508</v>
      </c>
      <c r="E98" s="920"/>
      <c r="F98" s="924"/>
      <c r="G98" s="925"/>
      <c r="I98" s="647"/>
      <c r="J98" s="647"/>
      <c r="K98" s="647"/>
      <c r="L98" s="647"/>
      <c r="M98" s="647"/>
      <c r="N98" s="647"/>
      <c r="O98" s="647"/>
      <c r="P98" s="922"/>
    </row>
    <row r="99" spans="1:17" s="921" customFormat="1" ht="13.5" customHeight="1" x14ac:dyDescent="0.2">
      <c r="A99" s="918" t="s">
        <v>361</v>
      </c>
      <c r="B99" s="919" t="s">
        <v>1440</v>
      </c>
      <c r="C99" s="918" t="s">
        <v>361</v>
      </c>
      <c r="D99" s="919" t="s">
        <v>1509</v>
      </c>
      <c r="E99" s="920"/>
      <c r="F99" s="924"/>
      <c r="G99" s="925"/>
      <c r="I99" s="647"/>
      <c r="J99" s="647"/>
      <c r="K99" s="647"/>
      <c r="L99" s="647"/>
      <c r="M99" s="647"/>
      <c r="N99" s="647"/>
      <c r="O99" s="647"/>
      <c r="P99" s="922"/>
    </row>
    <row r="100" spans="1:17" s="921" customFormat="1" ht="13.5" customHeight="1" x14ac:dyDescent="0.2">
      <c r="A100" s="918" t="s">
        <v>367</v>
      </c>
      <c r="B100" s="919" t="s">
        <v>1504</v>
      </c>
      <c r="C100" s="918" t="s">
        <v>367</v>
      </c>
      <c r="D100" s="919" t="s">
        <v>1510</v>
      </c>
      <c r="E100" s="920"/>
      <c r="F100" s="924"/>
      <c r="G100" s="925"/>
      <c r="I100" s="647"/>
      <c r="J100" s="647"/>
      <c r="K100" s="647"/>
      <c r="L100" s="647"/>
      <c r="M100" s="647"/>
      <c r="N100" s="647"/>
      <c r="O100" s="647"/>
      <c r="P100" s="922"/>
    </row>
    <row r="101" spans="1:17" s="921" customFormat="1" ht="12.75" customHeight="1" x14ac:dyDescent="0.2">
      <c r="A101" s="993" t="s">
        <v>377</v>
      </c>
      <c r="B101" s="994"/>
      <c r="C101" s="993" t="s">
        <v>377</v>
      </c>
      <c r="D101" s="994"/>
      <c r="E101" s="920"/>
      <c r="F101" s="924"/>
      <c r="G101" s="925"/>
      <c r="I101" s="647"/>
      <c r="J101" s="647"/>
      <c r="K101" s="647"/>
      <c r="L101" s="647"/>
      <c r="M101" s="647"/>
      <c r="N101" s="647"/>
      <c r="O101" s="647"/>
      <c r="P101" s="922"/>
    </row>
    <row r="102" spans="1:17" s="923" customFormat="1" ht="13.5" customHeight="1" x14ac:dyDescent="0.2">
      <c r="A102" s="918" t="s">
        <v>1124</v>
      </c>
      <c r="B102" s="919" t="s">
        <v>1511</v>
      </c>
      <c r="C102" s="918" t="s">
        <v>1124</v>
      </c>
      <c r="D102" s="919"/>
      <c r="E102" s="920"/>
      <c r="F102" s="921"/>
      <c r="G102" s="921"/>
      <c r="H102" s="921"/>
      <c r="I102" s="647"/>
      <c r="J102" s="647"/>
      <c r="K102" s="647"/>
      <c r="L102" s="647"/>
      <c r="M102" s="647"/>
      <c r="N102" s="647"/>
      <c r="O102" s="647"/>
      <c r="P102" s="922"/>
      <c r="Q102" s="647"/>
    </row>
    <row r="103" spans="1:17" s="921" customFormat="1" ht="12.75" customHeight="1" x14ac:dyDescent="0.2">
      <c r="A103" s="918" t="s">
        <v>1125</v>
      </c>
      <c r="B103" s="919" t="s">
        <v>1453</v>
      </c>
      <c r="C103" s="918" t="s">
        <v>1125</v>
      </c>
      <c r="D103" s="919"/>
      <c r="E103" s="920"/>
      <c r="F103" s="924"/>
      <c r="G103" s="925"/>
      <c r="I103" s="647"/>
      <c r="J103" s="647"/>
      <c r="K103" s="647"/>
      <c r="L103" s="647"/>
      <c r="M103" s="647"/>
      <c r="N103" s="647"/>
      <c r="O103" s="647"/>
      <c r="P103" s="922"/>
    </row>
    <row r="104" spans="1:17" s="921" customFormat="1" ht="12.75" customHeight="1" x14ac:dyDescent="0.2">
      <c r="A104" s="918" t="s">
        <v>365</v>
      </c>
      <c r="B104" s="919" t="s">
        <v>1512</v>
      </c>
      <c r="C104" s="918" t="s">
        <v>365</v>
      </c>
      <c r="D104" s="919"/>
      <c r="E104" s="920"/>
      <c r="F104" s="924"/>
      <c r="G104" s="925"/>
      <c r="I104" s="647"/>
      <c r="J104" s="647"/>
      <c r="K104" s="647"/>
      <c r="L104" s="647"/>
      <c r="M104" s="647"/>
      <c r="N104" s="647"/>
      <c r="O104" s="647"/>
      <c r="P104" s="922"/>
    </row>
    <row r="105" spans="1:17" s="921" customFormat="1" ht="12.75" customHeight="1" x14ac:dyDescent="0.2">
      <c r="A105" s="918" t="s">
        <v>360</v>
      </c>
      <c r="B105" s="919" t="s">
        <v>1474</v>
      </c>
      <c r="C105" s="918" t="s">
        <v>360</v>
      </c>
      <c r="D105" s="919"/>
      <c r="E105" s="920"/>
      <c r="F105" s="924"/>
      <c r="G105" s="925"/>
      <c r="I105" s="647"/>
      <c r="J105" s="647"/>
      <c r="K105" s="647"/>
      <c r="L105" s="647"/>
      <c r="M105" s="647"/>
      <c r="N105" s="647"/>
      <c r="O105" s="647"/>
      <c r="P105" s="922"/>
    </row>
    <row r="106" spans="1:17" s="933" customFormat="1" ht="12.75" customHeight="1" x14ac:dyDescent="0.2">
      <c r="A106" s="918" t="s">
        <v>366</v>
      </c>
      <c r="B106" s="919" t="s">
        <v>1513</v>
      </c>
      <c r="C106" s="918" t="s">
        <v>366</v>
      </c>
      <c r="D106" s="919"/>
      <c r="E106" s="932"/>
      <c r="F106" s="924"/>
      <c r="G106" s="925"/>
      <c r="I106" s="647"/>
      <c r="J106" s="647"/>
      <c r="K106" s="647"/>
      <c r="L106" s="647"/>
      <c r="M106" s="647"/>
      <c r="N106" s="647"/>
      <c r="O106" s="647"/>
      <c r="P106" s="922"/>
      <c r="Q106" s="921"/>
    </row>
    <row r="107" spans="1:17" s="647" customFormat="1" ht="12.75" customHeight="1" x14ac:dyDescent="0.2">
      <c r="A107" s="918" t="s">
        <v>361</v>
      </c>
      <c r="B107" s="919" t="s">
        <v>1440</v>
      </c>
      <c r="C107" s="918" t="s">
        <v>361</v>
      </c>
      <c r="D107" s="919"/>
      <c r="E107" s="934"/>
      <c r="F107" s="924"/>
      <c r="G107" s="925"/>
      <c r="P107" s="922"/>
      <c r="Q107" s="921"/>
    </row>
    <row r="108" spans="1:17" s="647" customFormat="1" ht="12.75" customHeight="1" x14ac:dyDescent="0.2">
      <c r="A108" s="918" t="s">
        <v>367</v>
      </c>
      <c r="B108" s="919" t="s">
        <v>1514</v>
      </c>
      <c r="C108" s="918" t="s">
        <v>367</v>
      </c>
      <c r="D108" s="919"/>
      <c r="E108" s="934"/>
      <c r="F108" s="924"/>
      <c r="G108" s="925"/>
      <c r="P108" s="922"/>
      <c r="Q108" s="921"/>
    </row>
    <row r="109" spans="1:17" s="921" customFormat="1" ht="12.75" customHeight="1" x14ac:dyDescent="0.2">
      <c r="A109" s="993" t="s">
        <v>377</v>
      </c>
      <c r="B109" s="994"/>
      <c r="C109" s="993" t="s">
        <v>377</v>
      </c>
      <c r="D109" s="994"/>
      <c r="E109" s="920"/>
      <c r="I109" s="647"/>
      <c r="J109" s="647"/>
      <c r="K109" s="647"/>
      <c r="L109" s="647"/>
      <c r="M109" s="647"/>
      <c r="N109" s="647"/>
      <c r="O109" s="647"/>
      <c r="P109" s="922"/>
    </row>
    <row r="110" spans="1:17" s="923" customFormat="1" ht="13.5" customHeight="1" x14ac:dyDescent="0.2">
      <c r="A110" s="918" t="s">
        <v>1124</v>
      </c>
      <c r="B110" s="919"/>
      <c r="C110" s="918" t="s">
        <v>1124</v>
      </c>
      <c r="D110" s="919"/>
      <c r="E110" s="920"/>
      <c r="F110" s="921"/>
      <c r="G110" s="921"/>
      <c r="H110" s="921"/>
      <c r="I110" s="647"/>
      <c r="J110" s="647"/>
      <c r="K110" s="647"/>
      <c r="L110" s="647"/>
      <c r="M110" s="647"/>
      <c r="N110" s="647"/>
      <c r="O110" s="647"/>
      <c r="P110" s="922"/>
      <c r="Q110" s="647"/>
    </row>
    <row r="111" spans="1:17" s="921" customFormat="1" ht="12.75" customHeight="1" x14ac:dyDescent="0.2">
      <c r="A111" s="918" t="s">
        <v>1125</v>
      </c>
      <c r="B111" s="919"/>
      <c r="C111" s="918" t="s">
        <v>1125</v>
      </c>
      <c r="D111" s="919"/>
      <c r="E111" s="920"/>
      <c r="I111" s="647"/>
      <c r="J111" s="647"/>
      <c r="K111" s="647"/>
      <c r="L111" s="647"/>
      <c r="M111" s="647"/>
      <c r="N111" s="647"/>
      <c r="O111" s="647"/>
      <c r="P111" s="922"/>
    </row>
    <row r="112" spans="1:17" s="921" customFormat="1" ht="12.75" customHeight="1" x14ac:dyDescent="0.2">
      <c r="A112" s="918" t="s">
        <v>365</v>
      </c>
      <c r="B112" s="919"/>
      <c r="C112" s="918" t="s">
        <v>365</v>
      </c>
      <c r="D112" s="919"/>
      <c r="E112" s="920"/>
      <c r="I112" s="647"/>
      <c r="J112" s="647"/>
      <c r="K112" s="647"/>
      <c r="L112" s="647"/>
      <c r="M112" s="647"/>
      <c r="N112" s="647"/>
      <c r="O112" s="647"/>
      <c r="P112" s="922"/>
    </row>
    <row r="113" spans="1:25" s="921" customFormat="1" ht="12.75" customHeight="1" x14ac:dyDescent="0.2">
      <c r="A113" s="918" t="s">
        <v>360</v>
      </c>
      <c r="B113" s="919"/>
      <c r="C113" s="918" t="s">
        <v>360</v>
      </c>
      <c r="D113" s="919"/>
      <c r="E113" s="920"/>
      <c r="I113" s="647"/>
      <c r="J113" s="647"/>
      <c r="K113" s="647"/>
      <c r="L113" s="647"/>
      <c r="M113" s="647"/>
      <c r="N113" s="647"/>
      <c r="O113" s="647"/>
      <c r="P113" s="922"/>
    </row>
    <row r="114" spans="1:25" s="923" customFormat="1" ht="12.75" customHeight="1" x14ac:dyDescent="0.2">
      <c r="A114" s="918" t="s">
        <v>366</v>
      </c>
      <c r="B114" s="919"/>
      <c r="C114" s="918" t="s">
        <v>366</v>
      </c>
      <c r="D114" s="919"/>
      <c r="E114" s="935"/>
      <c r="F114" s="921"/>
      <c r="G114" s="921"/>
      <c r="H114" s="921"/>
      <c r="I114" s="647"/>
      <c r="J114" s="647"/>
      <c r="K114" s="647"/>
      <c r="L114" s="647"/>
      <c r="M114" s="647"/>
      <c r="N114" s="647"/>
      <c r="O114" s="647"/>
      <c r="P114" s="922"/>
      <c r="Q114" s="921"/>
      <c r="R114" s="936"/>
      <c r="S114" s="936"/>
      <c r="T114" s="936"/>
      <c r="U114" s="936"/>
      <c r="V114" s="936"/>
      <c r="W114" s="936"/>
      <c r="X114" s="936"/>
      <c r="Y114" s="936"/>
    </row>
    <row r="115" spans="1:25" s="923" customFormat="1" ht="12.75" customHeight="1" x14ac:dyDescent="0.2">
      <c r="A115" s="918" t="s">
        <v>361</v>
      </c>
      <c r="B115" s="919"/>
      <c r="C115" s="918" t="s">
        <v>361</v>
      </c>
      <c r="D115" s="919"/>
      <c r="E115" s="935"/>
      <c r="F115" s="921"/>
      <c r="G115" s="921"/>
      <c r="H115" s="921"/>
      <c r="I115" s="647"/>
      <c r="J115" s="647"/>
      <c r="K115" s="647"/>
      <c r="L115" s="647"/>
      <c r="M115" s="647"/>
      <c r="N115" s="647"/>
      <c r="O115" s="647"/>
      <c r="P115" s="922"/>
      <c r="Q115" s="921"/>
      <c r="R115" s="936"/>
      <c r="S115" s="936"/>
      <c r="T115" s="936"/>
      <c r="U115" s="936"/>
      <c r="V115" s="936"/>
      <c r="W115" s="936"/>
      <c r="X115" s="936"/>
      <c r="Y115" s="936"/>
    </row>
    <row r="116" spans="1:25" s="923" customFormat="1" ht="12.75" customHeight="1" x14ac:dyDescent="0.2">
      <c r="A116" s="918" t="s">
        <v>367</v>
      </c>
      <c r="B116" s="919"/>
      <c r="C116" s="918" t="s">
        <v>367</v>
      </c>
      <c r="D116" s="919"/>
      <c r="E116" s="935"/>
      <c r="F116" s="921"/>
      <c r="G116" s="921"/>
      <c r="H116" s="921"/>
      <c r="I116" s="647"/>
      <c r="J116" s="647"/>
      <c r="K116" s="647"/>
      <c r="L116" s="647"/>
      <c r="M116" s="647"/>
      <c r="N116" s="647"/>
      <c r="O116" s="647"/>
      <c r="P116" s="922"/>
      <c r="Q116" s="921"/>
      <c r="R116" s="936"/>
      <c r="S116" s="936"/>
      <c r="T116" s="936"/>
      <c r="U116" s="936"/>
      <c r="V116" s="936"/>
      <c r="W116" s="936"/>
      <c r="X116" s="936"/>
      <c r="Y116" s="936"/>
    </row>
    <row r="117" spans="1:25" s="923" customFormat="1" ht="12.75" customHeight="1" x14ac:dyDescent="0.2">
      <c r="A117" s="993" t="s">
        <v>377</v>
      </c>
      <c r="B117" s="994"/>
      <c r="C117" s="993" t="s">
        <v>377</v>
      </c>
      <c r="D117" s="994"/>
      <c r="E117" s="935"/>
      <c r="F117" s="921"/>
      <c r="G117" s="921"/>
      <c r="H117" s="921"/>
      <c r="I117" s="647"/>
      <c r="J117" s="647"/>
      <c r="K117" s="647"/>
      <c r="L117" s="647"/>
      <c r="M117" s="647"/>
      <c r="N117" s="647"/>
      <c r="O117" s="647"/>
      <c r="P117" s="922"/>
      <c r="Q117" s="921"/>
      <c r="R117" s="936"/>
      <c r="S117" s="936"/>
      <c r="T117" s="936"/>
      <c r="U117" s="936"/>
      <c r="V117" s="936"/>
      <c r="W117" s="936"/>
      <c r="X117" s="936"/>
      <c r="Y117" s="936"/>
    </row>
    <row r="118" spans="1:25" s="923" customFormat="1" ht="13.5" customHeight="1" x14ac:dyDescent="0.2">
      <c r="A118" s="918" t="s">
        <v>1124</v>
      </c>
      <c r="B118" s="919"/>
      <c r="C118" s="918" t="s">
        <v>1124</v>
      </c>
      <c r="D118" s="919"/>
      <c r="E118" s="920"/>
      <c r="F118" s="921"/>
      <c r="G118" s="921"/>
      <c r="H118" s="921"/>
      <c r="I118" s="647"/>
      <c r="J118" s="647"/>
      <c r="K118" s="647"/>
      <c r="L118" s="647"/>
      <c r="M118" s="647"/>
      <c r="N118" s="647"/>
      <c r="O118" s="647"/>
      <c r="P118" s="922"/>
      <c r="Q118" s="647"/>
    </row>
    <row r="119" spans="1:25" s="923" customFormat="1" ht="12.75" customHeight="1" x14ac:dyDescent="0.2">
      <c r="A119" s="918" t="s">
        <v>1125</v>
      </c>
      <c r="B119" s="919"/>
      <c r="C119" s="918" t="s">
        <v>1125</v>
      </c>
      <c r="D119" s="919"/>
      <c r="E119" s="935"/>
      <c r="F119" s="921"/>
      <c r="G119" s="921"/>
      <c r="H119" s="921"/>
      <c r="I119" s="647"/>
      <c r="J119" s="647"/>
      <c r="K119" s="647"/>
      <c r="L119" s="647"/>
      <c r="M119" s="647"/>
      <c r="N119" s="647"/>
      <c r="O119" s="647"/>
      <c r="P119" s="922"/>
      <c r="Q119" s="921"/>
      <c r="R119" s="936"/>
      <c r="S119" s="936"/>
      <c r="T119" s="936"/>
      <c r="U119" s="936"/>
      <c r="V119" s="936"/>
      <c r="W119" s="936"/>
      <c r="X119" s="936"/>
      <c r="Y119" s="936"/>
    </row>
    <row r="120" spans="1:25" s="923" customFormat="1" ht="12.75" customHeight="1" x14ac:dyDescent="0.2">
      <c r="A120" s="918" t="s">
        <v>365</v>
      </c>
      <c r="B120" s="919"/>
      <c r="C120" s="918" t="s">
        <v>365</v>
      </c>
      <c r="D120" s="919"/>
      <c r="E120" s="935"/>
      <c r="F120" s="921"/>
      <c r="G120" s="921"/>
      <c r="H120" s="921"/>
      <c r="I120" s="647"/>
      <c r="J120" s="647"/>
      <c r="K120" s="647"/>
      <c r="L120" s="647"/>
      <c r="M120" s="647"/>
      <c r="N120" s="647"/>
      <c r="O120" s="647"/>
      <c r="P120" s="922"/>
      <c r="Q120" s="921"/>
      <c r="R120" s="936"/>
      <c r="S120" s="936"/>
      <c r="T120" s="936"/>
      <c r="U120" s="936"/>
      <c r="V120" s="936"/>
      <c r="W120" s="936"/>
      <c r="X120" s="936"/>
      <c r="Y120" s="936"/>
    </row>
    <row r="121" spans="1:25" s="923" customFormat="1" ht="12.75" customHeight="1" x14ac:dyDescent="0.2">
      <c r="A121" s="918" t="s">
        <v>360</v>
      </c>
      <c r="B121" s="919"/>
      <c r="C121" s="918" t="s">
        <v>360</v>
      </c>
      <c r="D121" s="919"/>
      <c r="E121" s="935"/>
      <c r="F121" s="921"/>
      <c r="G121" s="921"/>
      <c r="H121" s="921"/>
      <c r="I121" s="647"/>
      <c r="J121" s="647"/>
      <c r="K121" s="647"/>
      <c r="L121" s="647"/>
      <c r="M121" s="647"/>
      <c r="N121" s="647"/>
      <c r="O121" s="647"/>
      <c r="P121" s="922"/>
      <c r="Q121" s="921"/>
      <c r="R121" s="936"/>
      <c r="S121" s="936"/>
      <c r="T121" s="936"/>
      <c r="U121" s="936"/>
      <c r="V121" s="936"/>
      <c r="W121" s="936"/>
      <c r="X121" s="936"/>
      <c r="Y121" s="936"/>
    </row>
    <row r="122" spans="1:25" s="923" customFormat="1" ht="12.75" customHeight="1" x14ac:dyDescent="0.2">
      <c r="A122" s="918" t="s">
        <v>366</v>
      </c>
      <c r="B122" s="919"/>
      <c r="C122" s="918" t="s">
        <v>366</v>
      </c>
      <c r="D122" s="919"/>
      <c r="E122" s="935"/>
      <c r="F122" s="921"/>
      <c r="G122" s="921"/>
      <c r="H122" s="921"/>
      <c r="I122" s="647"/>
      <c r="J122" s="647"/>
      <c r="K122" s="647"/>
      <c r="L122" s="647"/>
      <c r="M122" s="647"/>
      <c r="N122" s="647"/>
      <c r="O122" s="647"/>
      <c r="P122" s="922"/>
      <c r="Q122" s="921"/>
      <c r="R122" s="936"/>
      <c r="S122" s="936"/>
      <c r="T122" s="936"/>
      <c r="U122" s="936"/>
      <c r="V122" s="936"/>
      <c r="W122" s="936"/>
      <c r="X122" s="936"/>
      <c r="Y122" s="936"/>
    </row>
    <row r="123" spans="1:25" s="923" customFormat="1" ht="12.75" customHeight="1" x14ac:dyDescent="0.2">
      <c r="A123" s="918" t="s">
        <v>361</v>
      </c>
      <c r="B123" s="919"/>
      <c r="C123" s="918" t="s">
        <v>361</v>
      </c>
      <c r="D123" s="919"/>
      <c r="E123" s="935"/>
      <c r="F123" s="921"/>
      <c r="G123" s="921"/>
      <c r="H123" s="921"/>
      <c r="I123" s="647"/>
      <c r="J123" s="647"/>
      <c r="K123" s="647"/>
      <c r="L123" s="647"/>
      <c r="M123" s="647"/>
      <c r="N123" s="647"/>
      <c r="O123" s="647"/>
      <c r="P123" s="922"/>
      <c r="Q123" s="921"/>
      <c r="R123" s="936"/>
      <c r="S123" s="936"/>
      <c r="T123" s="936"/>
      <c r="U123" s="936"/>
      <c r="V123" s="936"/>
      <c r="W123" s="936"/>
      <c r="X123" s="936"/>
      <c r="Y123" s="936"/>
    </row>
    <row r="124" spans="1:25" s="923" customFormat="1" ht="12.75" customHeight="1" x14ac:dyDescent="0.2">
      <c r="A124" s="918" t="s">
        <v>367</v>
      </c>
      <c r="B124" s="919"/>
      <c r="C124" s="918" t="s">
        <v>367</v>
      </c>
      <c r="D124" s="919"/>
      <c r="E124" s="935"/>
      <c r="F124" s="921"/>
      <c r="G124" s="921"/>
      <c r="H124" s="921"/>
      <c r="I124" s="647"/>
      <c r="J124" s="647"/>
      <c r="K124" s="647"/>
      <c r="L124" s="647"/>
      <c r="M124" s="647"/>
      <c r="N124" s="647"/>
      <c r="O124" s="647"/>
      <c r="P124" s="922"/>
      <c r="Q124" s="921"/>
      <c r="R124" s="936"/>
      <c r="S124" s="936"/>
      <c r="T124" s="936"/>
      <c r="U124" s="936"/>
      <c r="V124" s="936"/>
      <c r="W124" s="936"/>
      <c r="X124" s="936"/>
      <c r="Y124" s="936"/>
    </row>
    <row r="125" spans="1:25" s="923" customFormat="1" ht="12.75" customHeight="1" x14ac:dyDescent="0.2">
      <c r="A125" s="993" t="s">
        <v>377</v>
      </c>
      <c r="B125" s="994"/>
      <c r="C125" s="993" t="s">
        <v>377</v>
      </c>
      <c r="D125" s="994"/>
      <c r="E125" s="935"/>
      <c r="F125" s="921"/>
      <c r="G125" s="921"/>
      <c r="H125" s="921"/>
      <c r="I125" s="647"/>
      <c r="J125" s="647"/>
      <c r="K125" s="647"/>
      <c r="L125" s="647"/>
      <c r="M125" s="647"/>
      <c r="N125" s="647"/>
      <c r="O125" s="647"/>
      <c r="P125" s="922"/>
      <c r="Q125" s="921"/>
      <c r="R125" s="936"/>
      <c r="S125" s="936"/>
      <c r="T125" s="936"/>
      <c r="U125" s="936"/>
      <c r="V125" s="936"/>
      <c r="W125" s="936"/>
      <c r="X125" s="936"/>
      <c r="Y125" s="936"/>
    </row>
    <row r="126" spans="1:25" s="923" customFormat="1" ht="13.5" customHeight="1" x14ac:dyDescent="0.2">
      <c r="A126" s="918" t="s">
        <v>1124</v>
      </c>
      <c r="B126" s="919"/>
      <c r="C126" s="918" t="s">
        <v>1124</v>
      </c>
      <c r="D126" s="919"/>
      <c r="E126" s="920"/>
      <c r="F126" s="921"/>
      <c r="G126" s="921"/>
      <c r="H126" s="921"/>
      <c r="I126" s="647"/>
      <c r="J126" s="647"/>
      <c r="K126" s="647"/>
      <c r="L126" s="647"/>
      <c r="M126" s="647"/>
      <c r="N126" s="647"/>
      <c r="O126" s="647"/>
      <c r="P126" s="922"/>
      <c r="Q126" s="647"/>
    </row>
    <row r="127" spans="1:25" s="923" customFormat="1" ht="12.75" customHeight="1" x14ac:dyDescent="0.2">
      <c r="A127" s="918" t="s">
        <v>1125</v>
      </c>
      <c r="B127" s="919"/>
      <c r="C127" s="918" t="s">
        <v>1125</v>
      </c>
      <c r="D127" s="919"/>
      <c r="E127" s="935"/>
      <c r="F127" s="921"/>
      <c r="G127" s="921"/>
      <c r="H127" s="921"/>
      <c r="I127" s="647"/>
      <c r="J127" s="647"/>
      <c r="K127" s="647"/>
      <c r="L127" s="647"/>
      <c r="M127" s="647"/>
      <c r="N127" s="647"/>
      <c r="O127" s="647"/>
      <c r="P127" s="922"/>
      <c r="Q127" s="921"/>
      <c r="R127" s="936"/>
      <c r="S127" s="936"/>
      <c r="T127" s="936"/>
      <c r="U127" s="936"/>
      <c r="V127" s="936"/>
      <c r="W127" s="936"/>
      <c r="X127" s="936"/>
      <c r="Y127" s="936"/>
    </row>
    <row r="128" spans="1:25" s="923" customFormat="1" ht="12.75" customHeight="1" x14ac:dyDescent="0.2">
      <c r="A128" s="918" t="s">
        <v>365</v>
      </c>
      <c r="B128" s="919"/>
      <c r="C128" s="918" t="s">
        <v>365</v>
      </c>
      <c r="D128" s="919"/>
      <c r="E128" s="935"/>
      <c r="F128" s="921"/>
      <c r="G128" s="921"/>
      <c r="H128" s="921"/>
      <c r="I128" s="647"/>
      <c r="J128" s="647"/>
      <c r="K128" s="647"/>
      <c r="L128" s="647"/>
      <c r="M128" s="647"/>
      <c r="N128" s="647"/>
      <c r="O128" s="647"/>
      <c r="P128" s="922"/>
      <c r="Q128" s="921"/>
      <c r="R128" s="936"/>
      <c r="S128" s="936"/>
      <c r="T128" s="936"/>
      <c r="U128" s="936"/>
      <c r="V128" s="936"/>
      <c r="W128" s="936"/>
      <c r="X128" s="936"/>
      <c r="Y128" s="936"/>
    </row>
    <row r="129" spans="1:25" s="923" customFormat="1" ht="12.75" customHeight="1" x14ac:dyDescent="0.2">
      <c r="A129" s="918" t="s">
        <v>360</v>
      </c>
      <c r="B129" s="919"/>
      <c r="C129" s="918" t="s">
        <v>360</v>
      </c>
      <c r="D129" s="919"/>
      <c r="E129" s="935"/>
      <c r="F129" s="921"/>
      <c r="G129" s="921"/>
      <c r="H129" s="921"/>
      <c r="I129" s="647"/>
      <c r="J129" s="647"/>
      <c r="K129" s="647"/>
      <c r="L129" s="647"/>
      <c r="M129" s="647"/>
      <c r="N129" s="647"/>
      <c r="O129" s="647"/>
      <c r="P129" s="922"/>
      <c r="Q129" s="921"/>
      <c r="R129" s="936"/>
      <c r="S129" s="936"/>
      <c r="T129" s="936"/>
      <c r="U129" s="936"/>
      <c r="V129" s="936"/>
      <c r="W129" s="936"/>
      <c r="X129" s="936"/>
      <c r="Y129" s="936"/>
    </row>
    <row r="130" spans="1:25" s="923" customFormat="1" ht="12.75" customHeight="1" x14ac:dyDescent="0.2">
      <c r="A130" s="918" t="s">
        <v>366</v>
      </c>
      <c r="B130" s="919"/>
      <c r="C130" s="918" t="s">
        <v>366</v>
      </c>
      <c r="D130" s="919"/>
      <c r="E130" s="935"/>
      <c r="F130" s="921"/>
      <c r="G130" s="921"/>
      <c r="H130" s="921"/>
      <c r="I130" s="647"/>
      <c r="J130" s="647"/>
      <c r="K130" s="647"/>
      <c r="L130" s="647"/>
      <c r="M130" s="647"/>
      <c r="N130" s="647"/>
      <c r="O130" s="647"/>
      <c r="P130" s="922"/>
      <c r="Q130" s="921"/>
      <c r="R130" s="936"/>
      <c r="S130" s="936"/>
      <c r="T130" s="936"/>
      <c r="U130" s="936"/>
      <c r="V130" s="936"/>
      <c r="W130" s="936"/>
      <c r="X130" s="936"/>
      <c r="Y130" s="936"/>
    </row>
    <row r="131" spans="1:25" s="923" customFormat="1" ht="12.75" customHeight="1" x14ac:dyDescent="0.2">
      <c r="A131" s="918" t="s">
        <v>361</v>
      </c>
      <c r="B131" s="919"/>
      <c r="C131" s="918" t="s">
        <v>361</v>
      </c>
      <c r="D131" s="919"/>
      <c r="E131" s="935"/>
      <c r="F131" s="921"/>
      <c r="G131" s="921"/>
      <c r="H131" s="921"/>
      <c r="I131" s="647"/>
      <c r="J131" s="647"/>
      <c r="K131" s="647"/>
      <c r="L131" s="647"/>
      <c r="M131" s="647"/>
      <c r="N131" s="647"/>
      <c r="O131" s="647"/>
      <c r="P131" s="922"/>
      <c r="Q131" s="921"/>
      <c r="R131" s="936"/>
      <c r="S131" s="936"/>
      <c r="T131" s="936"/>
      <c r="U131" s="936"/>
      <c r="V131" s="936"/>
      <c r="W131" s="936"/>
      <c r="X131" s="936"/>
      <c r="Y131" s="936"/>
    </row>
    <row r="132" spans="1:25" s="923" customFormat="1" ht="12.75" customHeight="1" x14ac:dyDescent="0.2">
      <c r="A132" s="918" t="s">
        <v>367</v>
      </c>
      <c r="B132" s="919"/>
      <c r="C132" s="918" t="s">
        <v>367</v>
      </c>
      <c r="D132" s="919"/>
      <c r="E132" s="935"/>
      <c r="F132" s="921"/>
      <c r="G132" s="921"/>
      <c r="H132" s="921"/>
      <c r="I132" s="647"/>
      <c r="J132" s="647"/>
      <c r="K132" s="647"/>
      <c r="L132" s="647"/>
      <c r="M132" s="647"/>
      <c r="N132" s="647"/>
      <c r="O132" s="647"/>
      <c r="P132" s="922"/>
      <c r="Q132" s="921"/>
      <c r="R132" s="936"/>
      <c r="S132" s="936"/>
      <c r="T132" s="936"/>
      <c r="U132" s="936"/>
      <c r="V132" s="936"/>
      <c r="W132" s="936"/>
      <c r="X132" s="936"/>
      <c r="Y132" s="936"/>
    </row>
    <row r="133" spans="1:25" s="923" customFormat="1" ht="12.75" customHeight="1" x14ac:dyDescent="0.2">
      <c r="A133" s="993" t="s">
        <v>377</v>
      </c>
      <c r="B133" s="994"/>
      <c r="C133" s="995"/>
      <c r="D133" s="996"/>
      <c r="E133" s="935"/>
      <c r="F133" s="921"/>
      <c r="G133" s="921"/>
      <c r="H133" s="921"/>
      <c r="I133" s="647"/>
      <c r="J133" s="647"/>
      <c r="K133" s="647"/>
      <c r="L133" s="647"/>
      <c r="M133" s="647"/>
      <c r="N133" s="647"/>
      <c r="O133" s="647"/>
      <c r="P133" s="922"/>
      <c r="Q133" s="921"/>
      <c r="R133" s="936"/>
      <c r="S133" s="936"/>
      <c r="T133" s="936"/>
      <c r="U133" s="936"/>
      <c r="V133" s="936"/>
      <c r="W133" s="936"/>
      <c r="X133" s="936"/>
      <c r="Y133" s="936"/>
    </row>
    <row r="134" spans="1:25" s="923" customFormat="1" ht="12.75" customHeight="1" x14ac:dyDescent="0.2">
      <c r="A134" s="918" t="s">
        <v>1124</v>
      </c>
      <c r="B134" s="919"/>
      <c r="C134" s="937"/>
      <c r="D134" s="938"/>
      <c r="E134" s="935"/>
      <c r="F134" s="921"/>
      <c r="G134" s="921"/>
      <c r="H134" s="921"/>
      <c r="I134" s="647"/>
      <c r="J134" s="647"/>
      <c r="K134" s="647"/>
      <c r="L134" s="647"/>
      <c r="M134" s="647"/>
      <c r="N134" s="647"/>
      <c r="O134" s="647"/>
      <c r="P134" s="922"/>
      <c r="Q134" s="921"/>
      <c r="R134" s="936"/>
      <c r="S134" s="936"/>
      <c r="T134" s="936"/>
      <c r="U134" s="936"/>
      <c r="V134" s="936"/>
      <c r="W134" s="936"/>
      <c r="X134" s="936"/>
      <c r="Y134" s="936"/>
    </row>
    <row r="135" spans="1:25" s="923" customFormat="1" ht="12.75" customHeight="1" x14ac:dyDescent="0.2">
      <c r="A135" s="918" t="s">
        <v>1125</v>
      </c>
      <c r="B135" s="919"/>
      <c r="C135" s="937"/>
      <c r="D135" s="938"/>
      <c r="E135" s="935"/>
      <c r="F135" s="921"/>
      <c r="G135" s="921"/>
      <c r="H135" s="921"/>
      <c r="I135" s="647"/>
      <c r="J135" s="647"/>
      <c r="K135" s="647"/>
      <c r="L135" s="647"/>
      <c r="M135" s="647"/>
      <c r="N135" s="647"/>
      <c r="O135" s="647"/>
      <c r="P135" s="922"/>
      <c r="Q135" s="921"/>
      <c r="R135" s="936"/>
      <c r="S135" s="936"/>
      <c r="T135" s="936"/>
      <c r="U135" s="936"/>
      <c r="V135" s="936"/>
      <c r="W135" s="936"/>
      <c r="X135" s="936"/>
      <c r="Y135" s="936"/>
    </row>
    <row r="136" spans="1:25" s="923" customFormat="1" ht="12.75" customHeight="1" x14ac:dyDescent="0.2">
      <c r="A136" s="918" t="s">
        <v>365</v>
      </c>
      <c r="B136" s="919"/>
      <c r="C136" s="937"/>
      <c r="D136" s="938"/>
      <c r="E136" s="935"/>
      <c r="F136" s="921"/>
      <c r="G136" s="921"/>
      <c r="H136" s="921"/>
      <c r="I136" s="647"/>
      <c r="J136" s="647"/>
      <c r="K136" s="647"/>
      <c r="L136" s="647"/>
      <c r="M136" s="647"/>
      <c r="N136" s="647"/>
      <c r="O136" s="647"/>
      <c r="P136" s="922"/>
      <c r="Q136" s="921"/>
      <c r="R136" s="936"/>
      <c r="S136" s="936"/>
      <c r="T136" s="936"/>
      <c r="U136" s="936"/>
      <c r="V136" s="936"/>
      <c r="W136" s="936"/>
      <c r="X136" s="936"/>
      <c r="Y136" s="936"/>
    </row>
    <row r="137" spans="1:25" s="923" customFormat="1" ht="12.75" customHeight="1" x14ac:dyDescent="0.2">
      <c r="A137" s="918" t="s">
        <v>360</v>
      </c>
      <c r="B137" s="919"/>
      <c r="C137" s="937"/>
      <c r="D137" s="938"/>
      <c r="E137" s="935"/>
      <c r="F137" s="921"/>
      <c r="G137" s="921"/>
      <c r="H137" s="921"/>
      <c r="I137" s="647"/>
      <c r="J137" s="647"/>
      <c r="K137" s="647"/>
      <c r="L137" s="647"/>
      <c r="M137" s="647"/>
      <c r="N137" s="647"/>
      <c r="O137" s="647"/>
      <c r="P137" s="922"/>
      <c r="Q137" s="921"/>
      <c r="R137" s="936"/>
      <c r="S137" s="936"/>
      <c r="T137" s="936"/>
      <c r="U137" s="936"/>
      <c r="V137" s="936"/>
      <c r="W137" s="936"/>
      <c r="X137" s="936"/>
      <c r="Y137" s="936"/>
    </row>
    <row r="138" spans="1:25" s="923" customFormat="1" ht="12.75" customHeight="1" x14ac:dyDescent="0.2">
      <c r="A138" s="918" t="s">
        <v>366</v>
      </c>
      <c r="B138" s="919"/>
      <c r="C138" s="937"/>
      <c r="D138" s="938"/>
      <c r="E138" s="935"/>
      <c r="F138" s="921"/>
      <c r="G138" s="921"/>
      <c r="H138" s="921"/>
      <c r="I138" s="647"/>
      <c r="J138" s="647"/>
      <c r="K138" s="647"/>
      <c r="L138" s="647"/>
      <c r="M138" s="647"/>
      <c r="N138" s="647"/>
      <c r="O138" s="647"/>
      <c r="P138" s="922"/>
      <c r="Q138" s="921"/>
      <c r="R138" s="936"/>
      <c r="S138" s="936"/>
      <c r="T138" s="936"/>
      <c r="U138" s="936"/>
      <c r="V138" s="936"/>
      <c r="W138" s="936"/>
      <c r="X138" s="936"/>
      <c r="Y138" s="936"/>
    </row>
    <row r="139" spans="1:25" s="923" customFormat="1" ht="12.75" customHeight="1" x14ac:dyDescent="0.2">
      <c r="A139" s="918" t="s">
        <v>361</v>
      </c>
      <c r="B139" s="919"/>
      <c r="C139" s="937"/>
      <c r="D139" s="938"/>
      <c r="E139" s="935"/>
      <c r="F139" s="921"/>
      <c r="G139" s="921"/>
      <c r="H139" s="921"/>
      <c r="I139" s="647"/>
      <c r="J139" s="647"/>
      <c r="K139" s="647"/>
      <c r="L139" s="647"/>
      <c r="M139" s="647"/>
      <c r="N139" s="647"/>
      <c r="O139" s="647"/>
      <c r="P139" s="922"/>
      <c r="Q139" s="921"/>
      <c r="R139" s="936"/>
      <c r="S139" s="936"/>
      <c r="T139" s="936"/>
      <c r="U139" s="936"/>
      <c r="V139" s="936"/>
      <c r="W139" s="936"/>
      <c r="X139" s="936"/>
      <c r="Y139" s="936"/>
    </row>
    <row r="140" spans="1:25" s="923" customFormat="1" ht="12.75" customHeight="1" x14ac:dyDescent="0.2">
      <c r="A140" s="918" t="s">
        <v>367</v>
      </c>
      <c r="B140" s="919"/>
      <c r="C140" s="937"/>
      <c r="D140" s="938"/>
      <c r="E140" s="935"/>
      <c r="F140" s="921"/>
      <c r="G140" s="921"/>
      <c r="H140" s="921"/>
      <c r="I140" s="647"/>
      <c r="J140" s="647"/>
      <c r="K140" s="647"/>
      <c r="L140" s="647"/>
      <c r="M140" s="647"/>
      <c r="N140" s="647"/>
      <c r="O140" s="647"/>
      <c r="P140" s="922"/>
      <c r="Q140" s="921"/>
      <c r="R140" s="936"/>
      <c r="S140" s="936"/>
      <c r="T140" s="936"/>
      <c r="U140" s="936"/>
      <c r="V140" s="936"/>
      <c r="W140" s="936"/>
      <c r="X140" s="936"/>
      <c r="Y140" s="936"/>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M05 November</v>
      </c>
      <c r="B1" s="346"/>
      <c r="C1" s="346"/>
      <c r="D1" s="346"/>
      <c r="E1" s="346"/>
      <c r="F1" s="346"/>
      <c r="G1" s="346"/>
      <c r="H1" s="346"/>
      <c r="I1" s="346"/>
      <c r="J1" s="346"/>
    </row>
    <row r="2" spans="1:10" x14ac:dyDescent="0.25">
      <c r="A2" s="1017" t="str">
        <f>desc</f>
        <v>Description</v>
      </c>
      <c r="B2" s="158" t="str">
        <f>Head1</f>
        <v>2018/19</v>
      </c>
      <c r="C2" s="1019" t="str">
        <f>Head2</f>
        <v>Budget Year 2019/20</v>
      </c>
      <c r="D2" s="1020"/>
      <c r="E2" s="1020"/>
      <c r="F2" s="1020"/>
      <c r="G2" s="1020"/>
      <c r="H2" s="1020"/>
      <c r="I2" s="1020"/>
      <c r="J2" s="1021"/>
    </row>
    <row r="3" spans="1:10" ht="25.5" x14ac:dyDescent="0.25">
      <c r="A3" s="101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119183221</v>
      </c>
      <c r="C6" s="650">
        <f>SUM('C4-FinPerf RE'!D6:D6)</f>
        <v>112400000</v>
      </c>
      <c r="D6" s="408">
        <f>SUM('C4-FinPerf RE'!E6:E6)</f>
        <v>112400000</v>
      </c>
      <c r="E6" s="408">
        <f>SUM('C4-FinPerf RE'!F6:F6)</f>
        <v>10607108.16</v>
      </c>
      <c r="F6" s="408">
        <f>SUM('C4-FinPerf RE'!G6:G6)</f>
        <v>52595786.630000003</v>
      </c>
      <c r="G6" s="651">
        <f>SUM('C4-FinPerf RE'!H6:H6)</f>
        <v>49319479.100000009</v>
      </c>
      <c r="H6" s="408">
        <f>F6-G6</f>
        <v>3276307.5299999937</v>
      </c>
      <c r="I6" s="592">
        <f>IF(H6=0,"",H6/G6)</f>
        <v>6.6430294678436558E-2</v>
      </c>
      <c r="J6" s="643">
        <f>SUM('C4-FinPerf RE'!K6:K6)</f>
        <v>112400000</v>
      </c>
    </row>
    <row r="7" spans="1:10" ht="12.75" customHeight="1" x14ac:dyDescent="0.25">
      <c r="A7" s="152" t="s">
        <v>977</v>
      </c>
      <c r="B7" s="649">
        <f>SUM('C4-FinPerf RE'!C7:C10)</f>
        <v>482916172.95999998</v>
      </c>
      <c r="C7" s="650">
        <f>SUM('C4-FinPerf RE'!D7:D10)</f>
        <v>611052657</v>
      </c>
      <c r="D7" s="408">
        <f>SUM('C4-FinPerf RE'!E7:E10)</f>
        <v>604052657</v>
      </c>
      <c r="E7" s="408">
        <f>SUM('C4-FinPerf RE'!F7:F10)</f>
        <v>48298409.160000004</v>
      </c>
      <c r="F7" s="408">
        <f>SUM('C4-FinPerf RE'!G7:G10)</f>
        <v>270796085.45999998</v>
      </c>
      <c r="G7" s="651">
        <f>SUM('C4-FinPerf RE'!H7:H10)</f>
        <v>244040343.03</v>
      </c>
      <c r="H7" s="408">
        <f>F7-G7</f>
        <v>26755742.429999977</v>
      </c>
      <c r="I7" s="207">
        <f>IF(H7=0,"",H7/G7)</f>
        <v>0.10963655475074824</v>
      </c>
      <c r="J7" s="643">
        <f>SUM('C4-FinPerf RE'!K7:K10)</f>
        <v>611052657</v>
      </c>
    </row>
    <row r="8" spans="1:10" ht="12.75" customHeight="1" x14ac:dyDescent="0.25">
      <c r="A8" s="152" t="s">
        <v>503</v>
      </c>
      <c r="B8" s="649">
        <f>'C4-FinPerf RE'!C13</f>
        <v>9615814.0199999996</v>
      </c>
      <c r="C8" s="650">
        <f>'C4-FinPerf RE'!D13</f>
        <v>4301000</v>
      </c>
      <c r="D8" s="408">
        <f>'C4-FinPerf RE'!E13</f>
        <v>4301000</v>
      </c>
      <c r="E8" s="408">
        <f>'C4-FinPerf RE'!F13</f>
        <v>181583.96</v>
      </c>
      <c r="F8" s="408">
        <f>'C4-FinPerf RE'!G13</f>
        <v>1906352.58</v>
      </c>
      <c r="G8" s="651">
        <f>'C4-FinPerf RE'!H13</f>
        <v>2055089</v>
      </c>
      <c r="H8" s="408">
        <f>F8-G8</f>
        <v>-148736.41999999993</v>
      </c>
      <c r="I8" s="207">
        <f>IF(H8=0,"",H8/G8)</f>
        <v>-7.2374685475908793E-2</v>
      </c>
      <c r="J8" s="643">
        <f>'C4-FinPerf RE'!K13</f>
        <v>4301000</v>
      </c>
    </row>
    <row r="9" spans="1:10" ht="12.75" customHeight="1" x14ac:dyDescent="0.25">
      <c r="A9" s="152" t="s">
        <v>1127</v>
      </c>
      <c r="B9" s="649">
        <f>'C4-FinPerf RE'!C19</f>
        <v>356544299.81</v>
      </c>
      <c r="C9" s="650">
        <f>'C4-FinPerf RE'!D19</f>
        <v>416300150</v>
      </c>
      <c r="D9" s="408">
        <f>'C4-FinPerf RE'!E19</f>
        <v>417337256.26999998</v>
      </c>
      <c r="E9" s="408">
        <f>'C4-FinPerf RE'!F19</f>
        <v>10588000</v>
      </c>
      <c r="F9" s="408">
        <f>'C4-FinPerf RE'!G19</f>
        <v>178043000</v>
      </c>
      <c r="G9" s="651">
        <f>'C4-FinPerf RE'!H19</f>
        <v>156506312.84</v>
      </c>
      <c r="H9" s="408">
        <f>F9-G9</f>
        <v>21536687.159999996</v>
      </c>
      <c r="I9" s="207">
        <f>IF(H9=0,"",H9/G9)</f>
        <v>0.13760906361660596</v>
      </c>
      <c r="J9" s="643">
        <f>'C4-FinPerf RE'!K19</f>
        <v>416300150</v>
      </c>
    </row>
    <row r="10" spans="1:10" ht="12.75" customHeight="1" x14ac:dyDescent="0.25">
      <c r="A10" s="232" t="s">
        <v>501</v>
      </c>
      <c r="B10" s="652">
        <f>'C4-FinPerf RE'!C12+'C4-FinPerf RE'!C14+'C4-FinPerf RE'!C15+'C4-FinPerf RE'!C16+'C4-FinPerf RE'!C17+'C4-FinPerf RE'!C18+'C4-FinPerf RE'!C20+'C4-FinPerf RE'!C21</f>
        <v>90943285.75999999</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7183047.3200000012</v>
      </c>
      <c r="F10" s="409">
        <f>'C4-FinPerf RE'!G12+'C4-FinPerf RE'!G14+'C4-FinPerf RE'!G15+'C4-FinPerf RE'!G16+'C4-FinPerf RE'!G17+'C4-FinPerf RE'!G18+'C4-FinPerf RE'!G20+'C4-FinPerf RE'!G21</f>
        <v>42318805.07</v>
      </c>
      <c r="G10" s="654">
        <f>'C4-FinPerf RE'!H12+'C4-FinPerf RE'!H14+'C4-FinPerf RE'!H15+'C4-FinPerf RE'!H16+'C4-FinPerf RE'!H17+'C4-FinPerf RE'!H18+'C4-FinPerf RE'!H20+'C4-FinPerf RE'!H21</f>
        <v>39970732.100000001</v>
      </c>
      <c r="H10" s="409">
        <f>F10-G10</f>
        <v>2348072.9699999988</v>
      </c>
      <c r="I10" s="208">
        <f>IF(H10=0,"",H10/G10)</f>
        <v>5.8744807678916613E-2</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1059202793.55</v>
      </c>
      <c r="C11" s="657">
        <f t="shared" si="0"/>
        <v>1269626457</v>
      </c>
      <c r="D11" s="658">
        <f t="shared" si="0"/>
        <v>1263663563.27</v>
      </c>
      <c r="E11" s="658">
        <f t="shared" si="0"/>
        <v>76858148.600000009</v>
      </c>
      <c r="F11" s="658">
        <f t="shared" si="0"/>
        <v>545660029.74000001</v>
      </c>
      <c r="G11" s="659">
        <f t="shared" si="0"/>
        <v>491891956.07000005</v>
      </c>
      <c r="H11" s="658">
        <f t="shared" ref="H11:H25" si="1">F11-G11</f>
        <v>53768073.669999957</v>
      </c>
      <c r="I11" s="594">
        <f t="shared" ref="I11:I25" si="2">IF(H11=0,"",H11/G11)</f>
        <v>0.10930870693552944</v>
      </c>
      <c r="J11" s="660">
        <f t="shared" si="0"/>
        <v>1269626457</v>
      </c>
    </row>
    <row r="12" spans="1:10" ht="12.75" customHeight="1" x14ac:dyDescent="0.25">
      <c r="A12" s="152" t="s">
        <v>482</v>
      </c>
      <c r="B12" s="649">
        <f>'C4-FinPerf RE'!C25</f>
        <v>295232470.99999994</v>
      </c>
      <c r="C12" s="650">
        <f>'C4-FinPerf RE'!D25</f>
        <v>357557390.95999998</v>
      </c>
      <c r="D12" s="408">
        <f>'C4-FinPerf RE'!E25</f>
        <v>325483419.34999996</v>
      </c>
      <c r="E12" s="408">
        <f>'C4-FinPerf RE'!F25</f>
        <v>25876784.199999992</v>
      </c>
      <c r="F12" s="408">
        <f>'C4-FinPerf RE'!G25</f>
        <v>131396530.28000006</v>
      </c>
      <c r="G12" s="651">
        <f>'C4-FinPerf RE'!H25</f>
        <v>123704100.04000001</v>
      </c>
      <c r="H12" s="408">
        <f t="shared" si="1"/>
        <v>7692430.2400000542</v>
      </c>
      <c r="I12" s="207">
        <f t="shared" si="2"/>
        <v>6.2184117078679602E-2</v>
      </c>
      <c r="J12" s="643">
        <f>'C4-FinPerf RE'!K25</f>
        <v>357557390.95999998</v>
      </c>
    </row>
    <row r="13" spans="1:10" ht="12.75" customHeight="1" x14ac:dyDescent="0.25">
      <c r="A13" s="152" t="s">
        <v>855</v>
      </c>
      <c r="B13" s="649">
        <f>'C4-FinPerf RE'!C26</f>
        <v>26136302</v>
      </c>
      <c r="C13" s="650">
        <f>'C4-FinPerf RE'!D26</f>
        <v>28967131</v>
      </c>
      <c r="D13" s="408">
        <f>'C4-FinPerf RE'!E26</f>
        <v>28266131</v>
      </c>
      <c r="E13" s="408">
        <f>'C4-FinPerf RE'!F26</f>
        <v>2206205.5499999998</v>
      </c>
      <c r="F13" s="408">
        <f>'C4-FinPerf RE'!G26</f>
        <v>11011376.039999999</v>
      </c>
      <c r="G13" s="651">
        <f>'C4-FinPerf RE'!H26</f>
        <v>10549768.209999999</v>
      </c>
      <c r="H13" s="408">
        <f t="shared" si="1"/>
        <v>461607.83000000007</v>
      </c>
      <c r="I13" s="207">
        <f t="shared" si="2"/>
        <v>4.3755258012441213E-2</v>
      </c>
      <c r="J13" s="643">
        <f>'C4-FinPerf RE'!K26</f>
        <v>28967131</v>
      </c>
    </row>
    <row r="14" spans="1:10" ht="12.75" customHeight="1" x14ac:dyDescent="0.25">
      <c r="A14" s="582" t="s">
        <v>673</v>
      </c>
      <c r="B14" s="649">
        <f>'C4-FinPerf RE'!C28</f>
        <v>127724087</v>
      </c>
      <c r="C14" s="650">
        <f>'C4-FinPerf RE'!D28</f>
        <v>134196513</v>
      </c>
      <c r="D14" s="408">
        <f>'C4-FinPerf RE'!E28</f>
        <v>130000000</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11973760</v>
      </c>
      <c r="C15" s="650">
        <f>'C4-FinPerf RE'!D29</f>
        <v>14658314</v>
      </c>
      <c r="D15" s="408">
        <f>'C4-FinPerf RE'!E29</f>
        <v>14658314</v>
      </c>
      <c r="E15" s="408">
        <f>'C4-FinPerf RE'!F29</f>
        <v>159400.17000000001</v>
      </c>
      <c r="F15" s="408">
        <f>'C4-FinPerf RE'!G29</f>
        <v>4609050.4000000004</v>
      </c>
      <c r="G15" s="651">
        <f>'C4-FinPerf RE'!H29</f>
        <v>2928583.55</v>
      </c>
      <c r="H15" s="408">
        <f t="shared" si="1"/>
        <v>1680466.8500000006</v>
      </c>
      <c r="I15" s="207">
        <f t="shared" si="2"/>
        <v>0.57381557374383285</v>
      </c>
      <c r="J15" s="643">
        <f>'C4-FinPerf RE'!K29</f>
        <v>14658314</v>
      </c>
    </row>
    <row r="16" spans="1:10" ht="12.75" customHeight="1" x14ac:dyDescent="0.25">
      <c r="A16" s="152" t="s">
        <v>502</v>
      </c>
      <c r="B16" s="649">
        <f>SUM('C4-FinPerf RE'!C30:C31)</f>
        <v>390601775</v>
      </c>
      <c r="C16" s="650">
        <f>SUM('C4-FinPerf RE'!D30:D31)</f>
        <v>474608248.81</v>
      </c>
      <c r="D16" s="408">
        <f>SUM('C4-FinPerf RE'!E30:E31)</f>
        <v>457968561.81</v>
      </c>
      <c r="E16" s="408">
        <f>SUM('C4-FinPerf RE'!F30:F31)</f>
        <v>27909512.060000002</v>
      </c>
      <c r="F16" s="408">
        <f>SUM('C4-FinPerf RE'!G30:G31)</f>
        <v>111668209.7</v>
      </c>
      <c r="G16" s="651">
        <f>SUM('C4-FinPerf RE'!H30:H31)</f>
        <v>93922294.539999992</v>
      </c>
      <c r="H16" s="408">
        <f t="shared" si="1"/>
        <v>17745915.160000011</v>
      </c>
      <c r="I16" s="592">
        <f t="shared" si="2"/>
        <v>0.18894252154840949</v>
      </c>
      <c r="J16" s="643">
        <f>SUM('C4-FinPerf RE'!K30:K31)</f>
        <v>474608248.81</v>
      </c>
    </row>
    <row r="17" spans="1:11" ht="12.75" customHeight="1" x14ac:dyDescent="0.25">
      <c r="A17" s="152" t="s">
        <v>1127</v>
      </c>
      <c r="B17" s="649">
        <f>'C4-FinPerf RE'!C33</f>
        <v>50297361</v>
      </c>
      <c r="C17" s="650">
        <f>'C4-FinPerf RE'!D33</f>
        <v>36021812</v>
      </c>
      <c r="D17" s="408">
        <f>'C4-FinPerf RE'!E33</f>
        <v>34666106.270000003</v>
      </c>
      <c r="E17" s="408">
        <f>'C4-FinPerf RE'!F33</f>
        <v>2677251</v>
      </c>
      <c r="F17" s="408">
        <f>'C4-FinPerf RE'!G33</f>
        <v>7440726.0800000001</v>
      </c>
      <c r="G17" s="651">
        <f>'C4-FinPerf RE'!H33</f>
        <v>5316296.6499999994</v>
      </c>
      <c r="H17" s="408">
        <f t="shared" si="1"/>
        <v>2124429.4300000006</v>
      </c>
      <c r="I17" s="207">
        <f t="shared" si="2"/>
        <v>0.39960701402921162</v>
      </c>
      <c r="J17" s="643">
        <f>'C4-FinPerf RE'!K33</f>
        <v>36021812</v>
      </c>
    </row>
    <row r="18" spans="1:11" ht="12.75" customHeight="1" x14ac:dyDescent="0.25">
      <c r="A18" s="152" t="s">
        <v>440</v>
      </c>
      <c r="B18" s="649">
        <f>'C4-FinPerf RE'!C36-SUM('C1-Sum'!B12:B17)</f>
        <v>310378910</v>
      </c>
      <c r="C18" s="650">
        <f>'C4-FinPerf RE'!D36-SUM('C1-Sum'!C12:C17)</f>
        <v>267887569.19000006</v>
      </c>
      <c r="D18" s="408">
        <f>'C4-FinPerf RE'!E36-SUM('C1-Sum'!D12:D17)</f>
        <v>237503099.18999994</v>
      </c>
      <c r="E18" s="408">
        <f>'C4-FinPerf RE'!F36-SUM('C1-Sum'!E12:E17)</f>
        <v>20114972.170000009</v>
      </c>
      <c r="F18" s="408">
        <f>'C4-FinPerf RE'!G36-SUM('C1-Sum'!F12:F17)</f>
        <v>89253107.600000054</v>
      </c>
      <c r="G18" s="651">
        <f>'C4-FinPerf RE'!H36-SUM('C1-Sum'!G12:G17)</f>
        <v>80672102.589999974</v>
      </c>
      <c r="H18" s="408">
        <f t="shared" si="1"/>
        <v>8581005.0100000799</v>
      </c>
      <c r="I18" s="207">
        <f t="shared" si="2"/>
        <v>0.10636892723140418</v>
      </c>
      <c r="J18" s="643">
        <f>'C4-FinPerf RE'!K36-SUM('C1-Sum'!J12:J17)</f>
        <v>267887569.19000006</v>
      </c>
    </row>
    <row r="19" spans="1:11" ht="12.75" customHeight="1" x14ac:dyDescent="0.25">
      <c r="A19" s="584" t="s">
        <v>495</v>
      </c>
      <c r="B19" s="661">
        <f t="shared" ref="B19:G19" si="3">SUM(B12:B18)</f>
        <v>1212344666</v>
      </c>
      <c r="C19" s="662">
        <f t="shared" si="3"/>
        <v>1313896978.96</v>
      </c>
      <c r="D19" s="663">
        <f t="shared" si="3"/>
        <v>1228545631.6199999</v>
      </c>
      <c r="E19" s="663">
        <f t="shared" si="3"/>
        <v>78944125.150000006</v>
      </c>
      <c r="F19" s="663">
        <f t="shared" si="3"/>
        <v>355379000.10000014</v>
      </c>
      <c r="G19" s="664">
        <f t="shared" si="3"/>
        <v>317093145.57999998</v>
      </c>
      <c r="H19" s="663">
        <f t="shared" si="1"/>
        <v>38285854.52000016</v>
      </c>
      <c r="I19" s="382">
        <f t="shared" si="2"/>
        <v>0.12074008868899046</v>
      </c>
      <c r="J19" s="665">
        <f>SUM(J12:J18)</f>
        <v>1313896978.96</v>
      </c>
    </row>
    <row r="20" spans="1:11" ht="12.75" customHeight="1" x14ac:dyDescent="0.25">
      <c r="A20" s="153" t="s">
        <v>496</v>
      </c>
      <c r="B20" s="666">
        <f t="shared" ref="B20:G20" si="4">B11-B19</f>
        <v>-153141872.45000005</v>
      </c>
      <c r="C20" s="667">
        <f t="shared" si="4"/>
        <v>-44270521.960000038</v>
      </c>
      <c r="D20" s="638">
        <f t="shared" si="4"/>
        <v>35117931.650000095</v>
      </c>
      <c r="E20" s="638">
        <f t="shared" si="4"/>
        <v>-2085976.549999997</v>
      </c>
      <c r="F20" s="638">
        <f t="shared" si="4"/>
        <v>190281029.63999987</v>
      </c>
      <c r="G20" s="668">
        <f t="shared" si="4"/>
        <v>174798810.49000007</v>
      </c>
      <c r="H20" s="638">
        <f t="shared" si="1"/>
        <v>15482219.149999797</v>
      </c>
      <c r="I20" s="206">
        <f t="shared" si="2"/>
        <v>8.8571650496932344E-2</v>
      </c>
      <c r="J20" s="642">
        <f>J11-J19</f>
        <v>-44270521.960000038</v>
      </c>
    </row>
    <row r="21" spans="1:11" ht="12.75" customHeight="1" x14ac:dyDescent="0.25">
      <c r="A21" s="152" t="str">
        <f>'C4-FinPerf RE'!A39</f>
        <v>Transfers and subsidies - capital (monetary allocations) (National / Provincial and District)</v>
      </c>
      <c r="B21" s="649">
        <f>'C4-FinPerf RE'!C39</f>
        <v>76150621.189999998</v>
      </c>
      <c r="C21" s="650">
        <f>'C4-FinPerf RE'!D39</f>
        <v>89549850</v>
      </c>
      <c r="D21" s="408">
        <f>'C4-FinPerf RE'!E39</f>
        <v>89549850</v>
      </c>
      <c r="E21" s="408">
        <f>'C4-FinPerf RE'!F39</f>
        <v>32482000</v>
      </c>
      <c r="F21" s="408">
        <f>'C4-FinPerf RE'!G39</f>
        <v>63718000</v>
      </c>
      <c r="G21" s="651">
        <f>'C4-FinPerf RE'!H39</f>
        <v>55389000</v>
      </c>
      <c r="H21" s="408">
        <f t="shared" si="1"/>
        <v>8329000</v>
      </c>
      <c r="I21" s="207">
        <f t="shared" si="2"/>
        <v>0.15037281770748703</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-76991251.26000005</v>
      </c>
      <c r="C23" s="657">
        <f t="shared" si="5"/>
        <v>45279328.039999962</v>
      </c>
      <c r="D23" s="658">
        <f t="shared" si="5"/>
        <v>124667781.6500001</v>
      </c>
      <c r="E23" s="658">
        <f t="shared" si="5"/>
        <v>30396023.450000003</v>
      </c>
      <c r="F23" s="658">
        <f t="shared" si="5"/>
        <v>253999029.63999987</v>
      </c>
      <c r="G23" s="659">
        <f t="shared" si="5"/>
        <v>230187810.49000007</v>
      </c>
      <c r="H23" s="658">
        <f t="shared" si="1"/>
        <v>23811219.149999797</v>
      </c>
      <c r="I23" s="593">
        <f t="shared" si="2"/>
        <v>0.10344257195597338</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-76991251.26000005</v>
      </c>
      <c r="C25" s="667">
        <f t="shared" si="6"/>
        <v>45279328.039999962</v>
      </c>
      <c r="D25" s="638">
        <f t="shared" si="6"/>
        <v>124667781.6500001</v>
      </c>
      <c r="E25" s="638">
        <f t="shared" si="6"/>
        <v>30396023.450000003</v>
      </c>
      <c r="F25" s="638">
        <f t="shared" si="6"/>
        <v>253999029.63999987</v>
      </c>
      <c r="G25" s="668">
        <f t="shared" si="6"/>
        <v>230187810.49000007</v>
      </c>
      <c r="H25" s="638">
        <f t="shared" si="1"/>
        <v>23811219.149999797</v>
      </c>
      <c r="I25" s="206">
        <f t="shared" si="2"/>
        <v>0.10344257195597338</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103447828.51000001</v>
      </c>
      <c r="C28" s="662">
        <f>'C5-Capex'!D40</f>
        <v>142719850</v>
      </c>
      <c r="D28" s="663">
        <f>'C5-Capex'!E40</f>
        <v>142719850</v>
      </c>
      <c r="E28" s="663">
        <f>'C5-Capex'!F40</f>
        <v>9915031.4600000009</v>
      </c>
      <c r="F28" s="663">
        <f>'C5-Capex'!G40</f>
        <v>49310833.030000001</v>
      </c>
      <c r="G28" s="664">
        <f>'C5-Capex'!H40</f>
        <v>37598340</v>
      </c>
      <c r="H28" s="663">
        <f t="shared" ref="H28:H33" si="7">F28-G28</f>
        <v>11712493.030000001</v>
      </c>
      <c r="I28" s="382">
        <f t="shared" ref="I28:I33" si="8">IF(H28=0,"",H28/G28)</f>
        <v>0.31151622731216327</v>
      </c>
      <c r="J28" s="665">
        <f>'C5-Capex'!K40</f>
        <v>142719850</v>
      </c>
    </row>
    <row r="29" spans="1:11" ht="12.75" customHeight="1" x14ac:dyDescent="0.25">
      <c r="A29" s="152" t="s">
        <v>506</v>
      </c>
      <c r="B29" s="649">
        <f>'C5-Capex'!C70</f>
        <v>48393588.5</v>
      </c>
      <c r="C29" s="650">
        <f>'C5-Capex'!D70</f>
        <v>89549850</v>
      </c>
      <c r="D29" s="408">
        <f>'C5-Capex'!E70</f>
        <v>89549850</v>
      </c>
      <c r="E29" s="408">
        <f>'C5-Capex'!F70</f>
        <v>8486801.25</v>
      </c>
      <c r="F29" s="408">
        <f>'C5-Capex'!G70</f>
        <v>39535959.409999996</v>
      </c>
      <c r="G29" s="651">
        <f>'C5-Capex'!H70</f>
        <v>28461000</v>
      </c>
      <c r="H29" s="408">
        <f t="shared" si="7"/>
        <v>11074959.409999996</v>
      </c>
      <c r="I29" s="592">
        <f t="shared" si="8"/>
        <v>0.38912755735919313</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20907460</v>
      </c>
      <c r="C31" s="650">
        <f>'C5-Capex'!D72</f>
        <v>20000000</v>
      </c>
      <c r="D31" s="408">
        <f>'C5-Capex'!E72</f>
        <v>20000000</v>
      </c>
      <c r="E31" s="408">
        <f>'C5-Capex'!F72</f>
        <v>197731.06</v>
      </c>
      <c r="F31" s="408">
        <f>'C5-Capex'!G72</f>
        <v>5897483.1200000001</v>
      </c>
      <c r="G31" s="651">
        <f>'C5-Capex'!H72</f>
        <v>5135000</v>
      </c>
      <c r="H31" s="408">
        <f t="shared" si="7"/>
        <v>762483.12000000011</v>
      </c>
      <c r="I31" s="207">
        <f t="shared" si="8"/>
        <v>0.1484874625121714</v>
      </c>
      <c r="J31" s="643">
        <f>'C5-Capex'!K72</f>
        <v>20000000</v>
      </c>
      <c r="K31" s="156"/>
    </row>
    <row r="32" spans="1:11" ht="12.75" customHeight="1" x14ac:dyDescent="0.25">
      <c r="A32" s="152" t="s">
        <v>479</v>
      </c>
      <c r="B32" s="661">
        <f>'C5-Capex'!C73</f>
        <v>34146780</v>
      </c>
      <c r="C32" s="662">
        <f>'C5-Capex'!D73</f>
        <v>33170000</v>
      </c>
      <c r="D32" s="663">
        <f>'C5-Capex'!E73</f>
        <v>33170000</v>
      </c>
      <c r="E32" s="663">
        <f>'C5-Capex'!F73</f>
        <v>1230499.1499999999</v>
      </c>
      <c r="F32" s="663">
        <f>'C5-Capex'!G73</f>
        <v>3877390.5</v>
      </c>
      <c r="G32" s="664">
        <f>'C5-Capex'!H73</f>
        <v>4002340</v>
      </c>
      <c r="H32" s="663">
        <f t="shared" si="7"/>
        <v>-124949.5</v>
      </c>
      <c r="I32" s="382">
        <f t="shared" si="8"/>
        <v>-3.1219111819585543E-2</v>
      </c>
      <c r="J32" s="665">
        <f>'C5-Capex'!K73</f>
        <v>33170000</v>
      </c>
      <c r="K32" s="156"/>
    </row>
    <row r="33" spans="1:10" ht="12.75" customHeight="1" x14ac:dyDescent="0.25">
      <c r="A33" s="584" t="s">
        <v>143</v>
      </c>
      <c r="B33" s="669">
        <f t="shared" ref="B33:G33" si="9">+B29+B31+B32</f>
        <v>103447828.5</v>
      </c>
      <c r="C33" s="614">
        <f t="shared" si="9"/>
        <v>142719850</v>
      </c>
      <c r="D33" s="612">
        <f t="shared" si="9"/>
        <v>142719850</v>
      </c>
      <c r="E33" s="612">
        <f t="shared" si="9"/>
        <v>9915031.4600000009</v>
      </c>
      <c r="F33" s="612">
        <f t="shared" si="9"/>
        <v>49310833.029999994</v>
      </c>
      <c r="G33" s="613">
        <f t="shared" si="9"/>
        <v>37598340</v>
      </c>
      <c r="H33" s="612">
        <f t="shared" si="7"/>
        <v>11712493.029999994</v>
      </c>
      <c r="I33" s="595">
        <f t="shared" si="8"/>
        <v>0.31151622731216311</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451320200</v>
      </c>
      <c r="C36" s="650">
        <f>'C6-FinPos'!D13</f>
        <v>466057613.20480001</v>
      </c>
      <c r="D36" s="408">
        <f>'C6-FinPos'!E13</f>
        <v>543679793.6846</v>
      </c>
      <c r="E36" s="408"/>
      <c r="F36" s="408">
        <f>'C6-FinPos'!F13</f>
        <v>0</v>
      </c>
      <c r="G36" s="217"/>
      <c r="H36" s="217"/>
      <c r="I36" s="219"/>
      <c r="J36" s="643">
        <f>'C6-FinPos'!G13</f>
        <v>466057613.20480001</v>
      </c>
    </row>
    <row r="37" spans="1:10" ht="12.75" customHeight="1" x14ac:dyDescent="0.25">
      <c r="A37" s="152" t="s">
        <v>640</v>
      </c>
      <c r="B37" s="649">
        <f>'C6-FinPos'!C25</f>
        <v>1669460095</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326475562</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200760499</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1593544234</v>
      </c>
      <c r="C40" s="667">
        <f>'C6-FinPos'!D48</f>
        <v>1835636330.9196253</v>
      </c>
      <c r="D40" s="638">
        <f>'C6-FinPos'!E48</f>
        <v>1913258510.9196301</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171826861.68000007</v>
      </c>
      <c r="C43" s="650">
        <f>'C7-CFlow'!D18</f>
        <v>138294916.63000011</v>
      </c>
      <c r="D43" s="408">
        <f>'C7-CFlow'!E18</f>
        <v>191725180.63000011</v>
      </c>
      <c r="E43" s="408">
        <f>'C7-CFlow'!F18</f>
        <v>-6122733.4399999976</v>
      </c>
      <c r="F43" s="408">
        <f>'C7-CFlow'!G18</f>
        <v>15385799.897514701</v>
      </c>
      <c r="G43" s="651">
        <f>'C7-CFlow'!H18</f>
        <v>59746395.612463653</v>
      </c>
      <c r="H43" s="408">
        <f>G43-F43</f>
        <v>44360595.714948952</v>
      </c>
      <c r="I43" s="207">
        <f>IF(H43=0,"",H43/G43)</f>
        <v>0.74248153817826157</v>
      </c>
      <c r="J43" s="643">
        <f>'C7-CFlow'!K18</f>
        <v>138294916.63000011</v>
      </c>
    </row>
    <row r="44" spans="1:10" ht="12.75" customHeight="1" x14ac:dyDescent="0.25">
      <c r="A44" s="152" t="s">
        <v>658</v>
      </c>
      <c r="B44" s="649">
        <f>'C7-CFlow'!C28</f>
        <v>-171648201</v>
      </c>
      <c r="C44" s="650">
        <f>'C7-CFlow'!D28</f>
        <v>-138296311.15310001</v>
      </c>
      <c r="D44" s="408">
        <f>'C7-CFlow'!E28</f>
        <v>-144679311.15310001</v>
      </c>
      <c r="E44" s="408">
        <f>'C7-CFlow'!F28</f>
        <v>-4790238.71</v>
      </c>
      <c r="F44" s="408">
        <f>'C7-CFlow'!G28</f>
        <v>-35451330.100000001</v>
      </c>
      <c r="G44" s="651">
        <f>'C7-CFlow'!H28</f>
        <v>-16271963.646883801</v>
      </c>
      <c r="H44" s="408">
        <f>G44-F44</f>
        <v>19179366.453116201</v>
      </c>
      <c r="I44" s="207">
        <f>IF(H44=0,"",H44/G44)</f>
        <v>-1.1786755962172513</v>
      </c>
      <c r="J44" s="643">
        <f>'C7-CFlow'!K28</f>
        <v>-138296311.15310001</v>
      </c>
    </row>
    <row r="45" spans="1:10" ht="12.75" customHeight="1" x14ac:dyDescent="0.25">
      <c r="A45" s="152" t="s">
        <v>656</v>
      </c>
      <c r="B45" s="649">
        <f>'C7-CFlow'!C37</f>
        <v>34363685</v>
      </c>
      <c r="C45" s="650">
        <f>'C7-CFlow'!D37</f>
        <v>-4215227.7100000009</v>
      </c>
      <c r="D45" s="408">
        <f>'C7-CFlow'!E37</f>
        <v>-4215227.7100000009</v>
      </c>
      <c r="E45" s="408">
        <f>'C7-CFlow'!F37</f>
        <v>4808087</v>
      </c>
      <c r="F45" s="408">
        <f>'C7-CFlow'!G37</f>
        <v>4381147.1899999995</v>
      </c>
      <c r="G45" s="651">
        <f>'C7-CFlow'!H37</f>
        <v>-882271.76461477473</v>
      </c>
      <c r="H45" s="408">
        <f>G45-F45</f>
        <v>-5263418.9546147743</v>
      </c>
      <c r="I45" s="207">
        <f>IF(H45=0,"",H45/G45)</f>
        <v>5.9657569988232986</v>
      </c>
      <c r="J45" s="643">
        <f>'C7-CFlow'!K37</f>
        <v>-4215227.7100000009</v>
      </c>
    </row>
    <row r="46" spans="1:10" ht="12.75" customHeight="1" x14ac:dyDescent="0.25">
      <c r="A46" s="153" t="s">
        <v>54</v>
      </c>
      <c r="B46" s="666">
        <f>'C7-CFlow'!C41</f>
        <v>42033010.680000067</v>
      </c>
      <c r="C46" s="667">
        <f>'C7-CFlow'!D41</f>
        <v>7240867.7669000998</v>
      </c>
      <c r="D46" s="638">
        <f>'C7-CFlow'!E41</f>
        <v>84863652.766900092</v>
      </c>
      <c r="E46" s="638">
        <f>'C7-CFlow'!F41</f>
        <v>0</v>
      </c>
      <c r="F46" s="638">
        <f>'C7-CFlow'!G41</f>
        <v>26348627.987514697</v>
      </c>
      <c r="G46" s="668">
        <f>'C7-CFlow'!H41</f>
        <v>84625171.200965077</v>
      </c>
      <c r="H46" s="638">
        <f>G46-F46</f>
        <v>58276543.21345038</v>
      </c>
      <c r="I46" s="206">
        <f>IF(H46=0,"",H46/G46)</f>
        <v>0.68864313520922937</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62467814.170000002</v>
      </c>
      <c r="C50" s="650">
        <f>'SC3'!D14</f>
        <v>30660695.360000003</v>
      </c>
      <c r="D50" s="408">
        <f>'SC3'!E14</f>
        <v>16645040.890000001</v>
      </c>
      <c r="E50" s="408">
        <f>'SC3'!F14</f>
        <v>12890610.380000001</v>
      </c>
      <c r="F50" s="408">
        <f>'SC3'!G14</f>
        <v>552247897.1500001</v>
      </c>
      <c r="G50" s="651">
        <f>'SC3'!H14</f>
        <v>0</v>
      </c>
      <c r="H50" s="408">
        <f>'SC3'!I14</f>
        <v>0</v>
      </c>
      <c r="I50" s="651">
        <f>'SC3'!J14</f>
        <v>0</v>
      </c>
      <c r="J50" s="643">
        <f>'SC3'!K14</f>
        <v>674912057.95000005</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1855410</v>
      </c>
      <c r="C52" s="650">
        <f>'SC4'!D15</f>
        <v>162097</v>
      </c>
      <c r="D52" s="408">
        <f>'SC4'!E15</f>
        <v>0</v>
      </c>
      <c r="E52" s="408">
        <f>'SC4'!F15</f>
        <v>957284</v>
      </c>
      <c r="F52" s="408">
        <f>'SC4'!G15</f>
        <v>0</v>
      </c>
      <c r="G52" s="651">
        <f>'SC4'!H15</f>
        <v>0</v>
      </c>
      <c r="H52" s="408">
        <f>'SC4'!I15</f>
        <v>0</v>
      </c>
      <c r="I52" s="651">
        <f>'SC4'!J15</f>
        <v>0</v>
      </c>
      <c r="J52" s="643">
        <f>'SC4'!K15</f>
        <v>2974791</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6"/>
      <c r="B55" s="1016"/>
      <c r="C55" s="1016"/>
      <c r="D55" s="1016"/>
      <c r="E55" s="1016"/>
      <c r="F55" s="1016"/>
      <c r="G55" s="1016"/>
      <c r="H55" s="1016"/>
      <c r="I55" s="1016"/>
      <c r="J55" s="101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H41" sqref="H4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6" t="str">
        <f>muni&amp; " - "&amp;S71A&amp; " - "&amp;date</f>
        <v>LIM333 Greater Tzaneen - Table C2 Consolidated Monthly Budget Statement - Financial Performance (functional classification)  - M05 November</v>
      </c>
      <c r="B1" s="1026"/>
      <c r="C1" s="1026"/>
      <c r="D1" s="1026"/>
      <c r="E1" s="1026"/>
      <c r="F1" s="1026"/>
      <c r="G1" s="1026"/>
      <c r="H1" s="1026"/>
      <c r="I1" s="1026"/>
      <c r="J1" s="1026"/>
      <c r="K1" s="1026"/>
    </row>
    <row r="2" spans="1:18" x14ac:dyDescent="0.25">
      <c r="A2" s="1024" t="str">
        <f>desc</f>
        <v>Description</v>
      </c>
      <c r="B2" s="1022" t="str">
        <f>head27</f>
        <v>Ref</v>
      </c>
      <c r="C2" s="24" t="str">
        <f>Head1</f>
        <v>2018/19</v>
      </c>
      <c r="D2" s="231" t="str">
        <f>Head2</f>
        <v>Budget Year 2019/20</v>
      </c>
      <c r="E2" s="229"/>
      <c r="F2" s="229"/>
      <c r="G2" s="229"/>
      <c r="H2" s="229"/>
      <c r="I2" s="229"/>
      <c r="J2" s="229"/>
      <c r="K2" s="230"/>
    </row>
    <row r="3" spans="1:18"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510994348.56999999</v>
      </c>
      <c r="D6" s="670">
        <f t="shared" si="0"/>
        <v>510038007</v>
      </c>
      <c r="E6" s="638">
        <f t="shared" si="0"/>
        <v>510977113.26999998</v>
      </c>
      <c r="F6" s="638">
        <f t="shared" si="0"/>
        <v>12894509.949999999</v>
      </c>
      <c r="G6" s="638">
        <f t="shared" si="0"/>
        <v>228901148.21000001</v>
      </c>
      <c r="H6" s="638">
        <f t="shared" si="0"/>
        <v>204493579.06999999</v>
      </c>
      <c r="I6" s="47">
        <f t="shared" ref="I6:I13" si="1">G6-H6</f>
        <v>24407569.140000015</v>
      </c>
      <c r="J6" s="200">
        <f>IF(I6=0,"",I6/H6)</f>
        <v>0.11935616390011486</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510994348.56999999</v>
      </c>
      <c r="D8" s="672">
        <f>'C2C'!D10</f>
        <v>510036907</v>
      </c>
      <c r="E8" s="673">
        <f>'C2C'!E10</f>
        <v>510976013.26999998</v>
      </c>
      <c r="F8" s="673">
        <f>'C2C'!F10</f>
        <v>12894509.949999999</v>
      </c>
      <c r="G8" s="673">
        <f>'C2C'!G10</f>
        <v>228901148.21000001</v>
      </c>
      <c r="H8" s="673">
        <f>'C2C'!H10</f>
        <v>204493579.06999999</v>
      </c>
      <c r="I8" s="47">
        <f t="shared" si="1"/>
        <v>24407569.140000015</v>
      </c>
      <c r="J8" s="200">
        <f t="shared" si="2"/>
        <v>0.11935616390011486</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34735594</v>
      </c>
      <c r="D10" s="670">
        <f t="shared" si="3"/>
        <v>41092127</v>
      </c>
      <c r="E10" s="638">
        <f t="shared" si="3"/>
        <v>41092127</v>
      </c>
      <c r="F10" s="638">
        <f t="shared" si="3"/>
        <v>242709.01</v>
      </c>
      <c r="G10" s="638">
        <f t="shared" si="3"/>
        <v>1637656.06</v>
      </c>
      <c r="H10" s="638">
        <f t="shared" si="3"/>
        <v>2965198</v>
      </c>
      <c r="I10" s="47">
        <f t="shared" si="1"/>
        <v>-1327541.94</v>
      </c>
      <c r="J10" s="200">
        <f t="shared" si="2"/>
        <v>-0.44770768764851454</v>
      </c>
      <c r="K10" s="642">
        <f>SUM(K11:K15)</f>
        <v>41092127</v>
      </c>
      <c r="L10" s="100"/>
      <c r="Q10" s="69"/>
      <c r="R10" s="70"/>
    </row>
    <row r="11" spans="1:18" ht="12.75" customHeight="1" x14ac:dyDescent="0.25">
      <c r="A11" s="416" t="s">
        <v>114</v>
      </c>
      <c r="B11" s="415"/>
      <c r="C11" s="643">
        <f>'C2C'!C27</f>
        <v>37723</v>
      </c>
      <c r="D11" s="671">
        <f>'C2C'!D27</f>
        <v>56136</v>
      </c>
      <c r="E11" s="408">
        <f>'C2C'!E27</f>
        <v>56136</v>
      </c>
      <c r="F11" s="408">
        <f>'C2C'!F27</f>
        <v>3600</v>
      </c>
      <c r="G11" s="408">
        <f>'C2C'!G27</f>
        <v>15506</v>
      </c>
      <c r="H11" s="408">
        <f>'C2C'!H27</f>
        <v>12116.5</v>
      </c>
      <c r="I11" s="47">
        <f t="shared" si="1"/>
        <v>3389.5</v>
      </c>
      <c r="J11" s="200">
        <f t="shared" si="2"/>
        <v>0.27974249989683492</v>
      </c>
      <c r="K11" s="643">
        <f>'C2C'!K27</f>
        <v>56136</v>
      </c>
      <c r="L11" s="100"/>
      <c r="Q11" s="69"/>
      <c r="R11" s="70"/>
    </row>
    <row r="12" spans="1:18" ht="12.75" customHeight="1" x14ac:dyDescent="0.25">
      <c r="A12" s="416" t="s">
        <v>115</v>
      </c>
      <c r="B12" s="415"/>
      <c r="C12" s="643">
        <f>'C2C'!C49</f>
        <v>124948</v>
      </c>
      <c r="D12" s="671">
        <f>'C2C'!D49</f>
        <v>560766</v>
      </c>
      <c r="E12" s="408">
        <f>'C2C'!E49</f>
        <v>560766</v>
      </c>
      <c r="F12" s="408">
        <f>'C2C'!F49</f>
        <v>17277.41</v>
      </c>
      <c r="G12" s="408">
        <f>'C2C'!G49</f>
        <v>93103.41</v>
      </c>
      <c r="H12" s="408">
        <f>'C2C'!H49</f>
        <v>62992</v>
      </c>
      <c r="I12" s="47">
        <f t="shared" si="1"/>
        <v>30111.410000000003</v>
      </c>
      <c r="J12" s="200">
        <f t="shared" si="2"/>
        <v>0.47801958978917963</v>
      </c>
      <c r="K12" s="643">
        <f>'C2C'!K49</f>
        <v>560766</v>
      </c>
      <c r="L12" s="100"/>
      <c r="Q12" s="69"/>
      <c r="R12" s="70"/>
    </row>
    <row r="13" spans="1:18" ht="12.75" customHeight="1" x14ac:dyDescent="0.25">
      <c r="A13" s="416" t="s">
        <v>116</v>
      </c>
      <c r="B13" s="415"/>
      <c r="C13" s="643">
        <f>'C2C'!C55</f>
        <v>31635630</v>
      </c>
      <c r="D13" s="671">
        <f>'C2C'!D55</f>
        <v>38001000</v>
      </c>
      <c r="E13" s="408">
        <f>'C2C'!E55</f>
        <v>38001000</v>
      </c>
      <c r="F13" s="408">
        <f>'C2C'!F55</f>
        <v>132600</v>
      </c>
      <c r="G13" s="408">
        <f>'C2C'!G55</f>
        <v>675370</v>
      </c>
      <c r="H13" s="408">
        <f>'C2C'!H55</f>
        <v>1541125.5</v>
      </c>
      <c r="I13" s="47">
        <f t="shared" si="1"/>
        <v>-865755.5</v>
      </c>
      <c r="J13" s="200">
        <f t="shared" si="2"/>
        <v>-0.56176833100224477</v>
      </c>
      <c r="K13" s="643">
        <f>'C2C'!K55</f>
        <v>38001000</v>
      </c>
      <c r="L13" s="100"/>
      <c r="Q13" s="69"/>
      <c r="R13" s="70"/>
    </row>
    <row r="14" spans="1:18" ht="12.75" customHeight="1" x14ac:dyDescent="0.25">
      <c r="A14" s="416" t="s">
        <v>722</v>
      </c>
      <c r="B14" s="415"/>
      <c r="C14" s="643">
        <f>'C2C'!C64</f>
        <v>2724294</v>
      </c>
      <c r="D14" s="671">
        <f>'C2C'!D64</f>
        <v>2461225</v>
      </c>
      <c r="E14" s="408">
        <f>'C2C'!E64</f>
        <v>2461225</v>
      </c>
      <c r="F14" s="408">
        <f>'C2C'!F64</f>
        <v>88164.75</v>
      </c>
      <c r="G14" s="408">
        <f>'C2C'!G64</f>
        <v>848342.4</v>
      </c>
      <c r="H14" s="408">
        <f>'C2C'!H64</f>
        <v>1345763.45</v>
      </c>
      <c r="I14" s="47">
        <f t="shared" ref="I14:I19" si="4">G14-H14</f>
        <v>-497421.04999999993</v>
      </c>
      <c r="J14" s="200">
        <f t="shared" ref="J14:J19" si="5">IF(I14=0,"",I14/H14)</f>
        <v>-0.36961997296032967</v>
      </c>
      <c r="K14" s="643">
        <f>'C2C'!K64</f>
        <v>2461225</v>
      </c>
      <c r="L14" s="100"/>
      <c r="Q14" s="69"/>
      <c r="R14" s="70"/>
    </row>
    <row r="15" spans="1:18" ht="12.75" customHeight="1" x14ac:dyDescent="0.25">
      <c r="A15" s="416" t="s">
        <v>619</v>
      </c>
      <c r="B15" s="415"/>
      <c r="C15" s="644">
        <f>'C2C'!C67</f>
        <v>212999</v>
      </c>
      <c r="D15" s="672">
        <f>'C2C'!D67</f>
        <v>13000</v>
      </c>
      <c r="E15" s="673">
        <f>'C2C'!E67</f>
        <v>13000</v>
      </c>
      <c r="F15" s="673">
        <f>'C2C'!F67</f>
        <v>1066.8499999999999</v>
      </c>
      <c r="G15" s="673">
        <f>'C2C'!G67</f>
        <v>5334.25</v>
      </c>
      <c r="H15" s="673">
        <f>'C2C'!H67</f>
        <v>3200.55</v>
      </c>
      <c r="I15" s="47">
        <f t="shared" si="4"/>
        <v>2133.6999999999998</v>
      </c>
      <c r="J15" s="200">
        <f t="shared" si="5"/>
        <v>0.66666666666666652</v>
      </c>
      <c r="K15" s="674">
        <f>'C2C'!K67</f>
        <v>13000</v>
      </c>
      <c r="L15" s="100"/>
      <c r="Q15" s="69"/>
      <c r="R15" s="70"/>
    </row>
    <row r="16" spans="1:18" ht="12.75" customHeight="1" x14ac:dyDescent="0.25">
      <c r="A16" s="414" t="s">
        <v>117</v>
      </c>
      <c r="B16" s="417"/>
      <c r="C16" s="642">
        <f t="shared" ref="C16:H16" si="6">SUM(C17:C19)</f>
        <v>91410007</v>
      </c>
      <c r="D16" s="670">
        <f t="shared" si="6"/>
        <v>148244516</v>
      </c>
      <c r="E16" s="638">
        <f t="shared" si="6"/>
        <v>148244516</v>
      </c>
      <c r="F16" s="638">
        <f t="shared" si="6"/>
        <v>37316520.479999997</v>
      </c>
      <c r="G16" s="638">
        <f t="shared" si="6"/>
        <v>91969313.939999998</v>
      </c>
      <c r="H16" s="638">
        <f t="shared" si="6"/>
        <v>80194140.299999997</v>
      </c>
      <c r="I16" s="47">
        <f t="shared" si="4"/>
        <v>11775173.640000001</v>
      </c>
      <c r="J16" s="200">
        <f t="shared" si="5"/>
        <v>0.14683334213634561</v>
      </c>
      <c r="K16" s="642">
        <f>SUM(K17:K19)</f>
        <v>148244516</v>
      </c>
      <c r="L16" s="100"/>
      <c r="Q16" s="69"/>
      <c r="R16" s="70"/>
    </row>
    <row r="17" spans="1:18" ht="12.75" customHeight="1" x14ac:dyDescent="0.25">
      <c r="A17" s="416" t="s">
        <v>118</v>
      </c>
      <c r="B17" s="415"/>
      <c r="C17" s="643">
        <f>'C2C'!C76</f>
        <v>233505</v>
      </c>
      <c r="D17" s="671">
        <f>'C2C'!D76</f>
        <v>300125</v>
      </c>
      <c r="E17" s="408">
        <f>'C2C'!E76</f>
        <v>300125</v>
      </c>
      <c r="F17" s="408">
        <f>'C2C'!F76</f>
        <v>46729</v>
      </c>
      <c r="G17" s="408">
        <f>'C2C'!G76</f>
        <v>129735</v>
      </c>
      <c r="H17" s="408">
        <f>'C2C'!H76</f>
        <v>119370</v>
      </c>
      <c r="I17" s="47">
        <f t="shared" si="4"/>
        <v>10365</v>
      </c>
      <c r="J17" s="200">
        <f t="shared" si="5"/>
        <v>8.6830862025634586E-2</v>
      </c>
      <c r="K17" s="643">
        <f>'C2C'!K76</f>
        <v>300125</v>
      </c>
      <c r="L17" s="100"/>
      <c r="Q17" s="69"/>
      <c r="R17" s="70"/>
    </row>
    <row r="18" spans="1:18" ht="12.75" customHeight="1" x14ac:dyDescent="0.25">
      <c r="A18" s="416" t="s">
        <v>119</v>
      </c>
      <c r="B18" s="415"/>
      <c r="C18" s="643">
        <f>'C2C'!C87</f>
        <v>91176502</v>
      </c>
      <c r="D18" s="671">
        <f>'C2C'!D87</f>
        <v>147944391</v>
      </c>
      <c r="E18" s="408">
        <f>'C2C'!E87</f>
        <v>147944391</v>
      </c>
      <c r="F18" s="408">
        <f>'C2C'!F87</f>
        <v>37269791.479999997</v>
      </c>
      <c r="G18" s="408">
        <f>'C2C'!G87</f>
        <v>91839578.939999998</v>
      </c>
      <c r="H18" s="408">
        <f>'C2C'!H87</f>
        <v>80074770.299999997</v>
      </c>
      <c r="I18" s="47">
        <f t="shared" si="4"/>
        <v>11764808.640000001</v>
      </c>
      <c r="J18" s="200">
        <f t="shared" si="5"/>
        <v>0.14692278973668191</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498213465</v>
      </c>
      <c r="D20" s="670">
        <f t="shared" ref="D20:I20" si="7">SUM(D21:D24)</f>
        <v>659801657</v>
      </c>
      <c r="E20" s="638">
        <f t="shared" si="7"/>
        <v>652899656.99999499</v>
      </c>
      <c r="F20" s="638">
        <f t="shared" si="7"/>
        <v>58886409.160000004</v>
      </c>
      <c r="G20" s="638">
        <f t="shared" si="7"/>
        <v>286869911.53000003</v>
      </c>
      <c r="H20" s="638">
        <f t="shared" si="7"/>
        <v>259628038.70000002</v>
      </c>
      <c r="I20" s="47">
        <f t="shared" si="7"/>
        <v>27241872.830000006</v>
      </c>
      <c r="J20" s="200">
        <f t="shared" si="2"/>
        <v>0.10492654401429256</v>
      </c>
      <c r="K20" s="642">
        <f>SUM(K21:K24)</f>
        <v>659801657</v>
      </c>
      <c r="L20" s="100"/>
      <c r="Q20" s="69"/>
      <c r="R20" s="70"/>
    </row>
    <row r="21" spans="1:18" ht="12.75" customHeight="1" x14ac:dyDescent="0.25">
      <c r="A21" s="416" t="s">
        <v>1200</v>
      </c>
      <c r="B21" s="415"/>
      <c r="C21" s="643">
        <f>'C2C'!C100</f>
        <v>459468534</v>
      </c>
      <c r="D21" s="671">
        <f>'C2C'!D100</f>
        <v>597331000</v>
      </c>
      <c r="E21" s="408">
        <f>'C2C'!E100</f>
        <v>590428999.99999499</v>
      </c>
      <c r="F21" s="408">
        <f>'C2C'!F100</f>
        <v>53324354.920000002</v>
      </c>
      <c r="G21" s="408">
        <f>'C2C'!G100</f>
        <v>268496688.68000001</v>
      </c>
      <c r="H21" s="408">
        <f>'C2C'!H100</f>
        <v>242881780.12</v>
      </c>
      <c r="I21" s="47">
        <f>G21-H21</f>
        <v>25614908.560000002</v>
      </c>
      <c r="J21" s="200">
        <f t="shared" si="2"/>
        <v>0.10546245398623358</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38744931</v>
      </c>
      <c r="D24" s="671">
        <f>'C2C'!D113</f>
        <v>62470657</v>
      </c>
      <c r="E24" s="408">
        <f>'C2C'!E113</f>
        <v>62470657</v>
      </c>
      <c r="F24" s="408">
        <f>'C2C'!F113</f>
        <v>5562054.2400000002</v>
      </c>
      <c r="G24" s="408">
        <f>'C2C'!G113</f>
        <v>18373222.850000001</v>
      </c>
      <c r="H24" s="408">
        <f>'C2C'!H113</f>
        <v>16746258.58</v>
      </c>
      <c r="I24" s="47">
        <f>G24-H24</f>
        <v>1626964.2700000014</v>
      </c>
      <c r="J24" s="200">
        <f t="shared" si="2"/>
        <v>9.7153896330197567E-2</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1135353414.5699999</v>
      </c>
      <c r="D26" s="599">
        <f t="shared" ref="D26:I26" si="8">D6+D10+D16+D20+D25</f>
        <v>1359176307</v>
      </c>
      <c r="E26" s="546">
        <f t="shared" si="8"/>
        <v>1353213413.269995</v>
      </c>
      <c r="F26" s="546">
        <f t="shared" si="8"/>
        <v>109340148.59999999</v>
      </c>
      <c r="G26" s="546">
        <f t="shared" si="8"/>
        <v>609378029.74000001</v>
      </c>
      <c r="H26" s="546">
        <f t="shared" si="8"/>
        <v>547280956.07000005</v>
      </c>
      <c r="I26" s="546">
        <f t="shared" si="8"/>
        <v>62097073.670000024</v>
      </c>
      <c r="J26" s="600">
        <f t="shared" si="2"/>
        <v>0.11346470762643801</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312355428.33000004</v>
      </c>
      <c r="D29" s="670">
        <f t="shared" si="9"/>
        <v>288608919.03999996</v>
      </c>
      <c r="E29" s="638">
        <f t="shared" si="9"/>
        <v>266187849.24000001</v>
      </c>
      <c r="F29" s="638">
        <f t="shared" si="9"/>
        <v>19312518.599999998</v>
      </c>
      <c r="G29" s="638">
        <f t="shared" si="9"/>
        <v>96155250.540000021</v>
      </c>
      <c r="H29" s="638">
        <f t="shared" si="9"/>
        <v>87084283.140000015</v>
      </c>
      <c r="I29" s="47">
        <f t="shared" ref="I29:I48" si="10">G29-H29</f>
        <v>9070967.400000006</v>
      </c>
      <c r="J29" s="200">
        <f>IF(I29=0,"",I29/H29)</f>
        <v>0.10416308285408026</v>
      </c>
      <c r="K29" s="642">
        <f>SUM(K30:K32)</f>
        <v>288608919.03999996</v>
      </c>
      <c r="L29" s="100"/>
      <c r="Q29" s="69"/>
    </row>
    <row r="30" spans="1:18" ht="12.75" customHeight="1" x14ac:dyDescent="0.25">
      <c r="A30" s="416" t="s">
        <v>112</v>
      </c>
      <c r="B30" s="428"/>
      <c r="C30" s="643">
        <f>'C2C'!C129</f>
        <v>39479040.049999997</v>
      </c>
      <c r="D30" s="671">
        <f>'C2C'!D129</f>
        <v>45329387</v>
      </c>
      <c r="E30" s="408">
        <f>'C2C'!E129</f>
        <v>41937927.629999995</v>
      </c>
      <c r="F30" s="408">
        <f>'C2C'!F129</f>
        <v>3061512.26</v>
      </c>
      <c r="G30" s="408">
        <f>'C2C'!G129</f>
        <v>16301619.73</v>
      </c>
      <c r="H30" s="408">
        <f>'C2C'!H129</f>
        <v>15052350.75</v>
      </c>
      <c r="I30" s="47">
        <f t="shared" si="10"/>
        <v>1249268.9800000004</v>
      </c>
      <c r="J30" s="200">
        <f t="shared" ref="J30:J49" si="11">IF(I30=0,"",I30/H30)</f>
        <v>8.2994942168750654E-2</v>
      </c>
      <c r="K30" s="643">
        <f>'C2C'!K129</f>
        <v>45329387</v>
      </c>
      <c r="L30" s="100"/>
      <c r="Q30" s="69"/>
    </row>
    <row r="31" spans="1:18" ht="12.75" customHeight="1" x14ac:dyDescent="0.25">
      <c r="A31" s="416" t="s">
        <v>1132</v>
      </c>
      <c r="B31" s="428"/>
      <c r="C31" s="644">
        <f>'C2C'!C132</f>
        <v>268538658.74000001</v>
      </c>
      <c r="D31" s="672">
        <f>'C2C'!D132</f>
        <v>237515265.03999999</v>
      </c>
      <c r="E31" s="673">
        <f>'C2C'!E132</f>
        <v>218734709.61000001</v>
      </c>
      <c r="F31" s="673">
        <f>'C2C'!F132</f>
        <v>15914072.51</v>
      </c>
      <c r="G31" s="673">
        <f>'C2C'!G132</f>
        <v>77815751.730000019</v>
      </c>
      <c r="H31" s="673">
        <f>'C2C'!H132</f>
        <v>70192398.13000001</v>
      </c>
      <c r="I31" s="47">
        <f t="shared" si="10"/>
        <v>7623353.6000000089</v>
      </c>
      <c r="J31" s="200">
        <f t="shared" si="11"/>
        <v>0.10860654149301406</v>
      </c>
      <c r="K31" s="674">
        <f>'C2C'!K132</f>
        <v>237515265.03999999</v>
      </c>
      <c r="L31" s="100"/>
      <c r="Q31" s="69"/>
    </row>
    <row r="32" spans="1:18" ht="12.75" customHeight="1" x14ac:dyDescent="0.25">
      <c r="A32" s="416" t="s">
        <v>1143</v>
      </c>
      <c r="B32" s="428"/>
      <c r="C32" s="643">
        <f>'C2C'!C146</f>
        <v>4337729.540000001</v>
      </c>
      <c r="D32" s="671">
        <f>'C2C'!D146</f>
        <v>5764267</v>
      </c>
      <c r="E32" s="408">
        <f>'C2C'!E146</f>
        <v>5515212</v>
      </c>
      <c r="F32" s="408">
        <f>'C2C'!F146</f>
        <v>336933.83</v>
      </c>
      <c r="G32" s="408">
        <f>'C2C'!G146</f>
        <v>2037879.0799999998</v>
      </c>
      <c r="H32" s="408">
        <f>'C2C'!H146</f>
        <v>1839534.26</v>
      </c>
      <c r="I32" s="47">
        <f t="shared" si="10"/>
        <v>198344.81999999983</v>
      </c>
      <c r="J32" s="200">
        <f t="shared" si="11"/>
        <v>0.10782339003569297</v>
      </c>
      <c r="K32" s="643">
        <f>'C2C'!K146</f>
        <v>5764267</v>
      </c>
      <c r="L32" s="100"/>
      <c r="Q32" s="69"/>
    </row>
    <row r="33" spans="1:17" ht="12.75" customHeight="1" x14ac:dyDescent="0.25">
      <c r="A33" s="414" t="s">
        <v>113</v>
      </c>
      <c r="B33" s="428"/>
      <c r="C33" s="642">
        <f t="shared" ref="C33:H33" si="12">SUM(C34:C38)</f>
        <v>110086623.64999999</v>
      </c>
      <c r="D33" s="670">
        <f t="shared" si="12"/>
        <v>124347604</v>
      </c>
      <c r="E33" s="638">
        <f t="shared" si="12"/>
        <v>111906251.72</v>
      </c>
      <c r="F33" s="638">
        <f t="shared" si="12"/>
        <v>6416759.6199999992</v>
      </c>
      <c r="G33" s="638">
        <f t="shared" si="12"/>
        <v>33374585.640000004</v>
      </c>
      <c r="H33" s="638">
        <f t="shared" si="12"/>
        <v>30743654.07</v>
      </c>
      <c r="I33" s="47">
        <f t="shared" si="10"/>
        <v>2630931.570000004</v>
      </c>
      <c r="J33" s="200">
        <f t="shared" si="11"/>
        <v>8.557641079390417E-2</v>
      </c>
      <c r="K33" s="642">
        <f>SUM(K34:K38)</f>
        <v>124347604</v>
      </c>
      <c r="L33" s="100"/>
      <c r="Q33" s="69"/>
    </row>
    <row r="34" spans="1:17" ht="12.75" customHeight="1" x14ac:dyDescent="0.25">
      <c r="A34" s="416" t="s">
        <v>114</v>
      </c>
      <c r="B34" s="428"/>
      <c r="C34" s="643">
        <f>'C2C'!C149</f>
        <v>11067663.879999999</v>
      </c>
      <c r="D34" s="671">
        <f>'C2C'!D149</f>
        <v>12614844</v>
      </c>
      <c r="E34" s="408">
        <f>'C2C'!E149</f>
        <v>12318705.5</v>
      </c>
      <c r="F34" s="408">
        <f>'C2C'!F149</f>
        <v>964088.48</v>
      </c>
      <c r="G34" s="408">
        <f>'C2C'!G149</f>
        <v>5128755.9300000006</v>
      </c>
      <c r="H34" s="408">
        <f>'C2C'!H149</f>
        <v>5218873.8899999997</v>
      </c>
      <c r="I34" s="47">
        <f t="shared" si="10"/>
        <v>-90117.959999999031</v>
      </c>
      <c r="J34" s="200">
        <f t="shared" si="11"/>
        <v>-1.7267702170898604E-2</v>
      </c>
      <c r="K34" s="643">
        <f>'C2C'!K149</f>
        <v>12614844</v>
      </c>
      <c r="L34" s="100"/>
      <c r="Q34" s="69"/>
    </row>
    <row r="35" spans="1:17" ht="12.75" customHeight="1" x14ac:dyDescent="0.25">
      <c r="A35" s="416" t="s">
        <v>115</v>
      </c>
      <c r="B35" s="428"/>
      <c r="C35" s="643">
        <f>'C2C'!C171</f>
        <v>23016098.579999998</v>
      </c>
      <c r="D35" s="671">
        <f>'C2C'!D171</f>
        <v>27120105</v>
      </c>
      <c r="E35" s="408">
        <f>'C2C'!E171</f>
        <v>25317366</v>
      </c>
      <c r="F35" s="408">
        <f>'C2C'!F171</f>
        <v>1833747.55</v>
      </c>
      <c r="G35" s="408">
        <f>'C2C'!G171</f>
        <v>9944993.9700000007</v>
      </c>
      <c r="H35" s="408">
        <f>'C2C'!H171</f>
        <v>9259298.5200000014</v>
      </c>
      <c r="I35" s="47">
        <f t="shared" si="10"/>
        <v>685695.44999999925</v>
      </c>
      <c r="J35" s="200">
        <f t="shared" si="11"/>
        <v>7.4054794595822052E-2</v>
      </c>
      <c r="K35" s="643">
        <f>'C2C'!K171</f>
        <v>27120105</v>
      </c>
      <c r="L35" s="100"/>
      <c r="Q35" s="69"/>
    </row>
    <row r="36" spans="1:17" ht="12.75" customHeight="1" x14ac:dyDescent="0.25">
      <c r="A36" s="416" t="s">
        <v>116</v>
      </c>
      <c r="B36" s="426"/>
      <c r="C36" s="643">
        <f>'C2C'!C177</f>
        <v>53110645</v>
      </c>
      <c r="D36" s="671">
        <f>'C2C'!D177</f>
        <v>56026008</v>
      </c>
      <c r="E36" s="408">
        <f>'C2C'!E177</f>
        <v>47159665</v>
      </c>
      <c r="F36" s="408">
        <f>'C2C'!F177</f>
        <v>1394127.05</v>
      </c>
      <c r="G36" s="408">
        <f>'C2C'!G177</f>
        <v>7598188.7400000002</v>
      </c>
      <c r="H36" s="408">
        <f>'C2C'!H177</f>
        <v>6641979.7300000004</v>
      </c>
      <c r="I36" s="47">
        <f t="shared" si="10"/>
        <v>956209.00999999978</v>
      </c>
      <c r="J36" s="200">
        <f t="shared" si="11"/>
        <v>0.14396445771748836</v>
      </c>
      <c r="K36" s="643">
        <f>'C2C'!K177</f>
        <v>56026008</v>
      </c>
      <c r="L36" s="100"/>
      <c r="Q36" s="70"/>
    </row>
    <row r="37" spans="1:17" ht="12.75" customHeight="1" x14ac:dyDescent="0.25">
      <c r="A37" s="416" t="s">
        <v>722</v>
      </c>
      <c r="B37" s="426"/>
      <c r="C37" s="643">
        <f>'C2C'!C186</f>
        <v>13788554.93</v>
      </c>
      <c r="D37" s="671">
        <f>'C2C'!D186</f>
        <v>18041702</v>
      </c>
      <c r="E37" s="408">
        <f>'C2C'!E186</f>
        <v>16939922.719999999</v>
      </c>
      <c r="F37" s="408">
        <f>'C2C'!F186</f>
        <v>1290287.8500000001</v>
      </c>
      <c r="G37" s="408">
        <f>'C2C'!G186</f>
        <v>6291794.0100000007</v>
      </c>
      <c r="H37" s="408">
        <f>'C2C'!H186</f>
        <v>5817141.2200000007</v>
      </c>
      <c r="I37" s="47">
        <f t="shared" si="10"/>
        <v>474652.79000000004</v>
      </c>
      <c r="J37" s="200">
        <f t="shared" si="11"/>
        <v>8.1595541873401511E-2</v>
      </c>
      <c r="K37" s="643">
        <f>'C2C'!K186</f>
        <v>18041702</v>
      </c>
      <c r="L37" s="100"/>
      <c r="Q37" s="70"/>
    </row>
    <row r="38" spans="1:17" ht="12.75" customHeight="1" x14ac:dyDescent="0.25">
      <c r="A38" s="416" t="s">
        <v>619</v>
      </c>
      <c r="B38" s="426"/>
      <c r="C38" s="644">
        <f>'C2C'!C189</f>
        <v>9103661.2599999998</v>
      </c>
      <c r="D38" s="672">
        <f>'C2C'!D189</f>
        <v>10544945</v>
      </c>
      <c r="E38" s="673">
        <f>'C2C'!E189</f>
        <v>10170592.5</v>
      </c>
      <c r="F38" s="673">
        <f>'C2C'!F189</f>
        <v>934508.69</v>
      </c>
      <c r="G38" s="673">
        <f>'C2C'!G189</f>
        <v>4410852.9900000012</v>
      </c>
      <c r="H38" s="673">
        <f>'C2C'!H189</f>
        <v>3806360.71</v>
      </c>
      <c r="I38" s="47">
        <f t="shared" si="10"/>
        <v>604492.28000000119</v>
      </c>
      <c r="J38" s="200">
        <f t="shared" si="11"/>
        <v>0.15881108650892972</v>
      </c>
      <c r="K38" s="674">
        <f>'C2C'!K189</f>
        <v>10544945</v>
      </c>
      <c r="L38" s="100"/>
      <c r="Q38" s="70"/>
    </row>
    <row r="39" spans="1:17" ht="12.75" customHeight="1" x14ac:dyDescent="0.25">
      <c r="A39" s="414" t="s">
        <v>117</v>
      </c>
      <c r="B39" s="426"/>
      <c r="C39" s="642">
        <f t="shared" ref="C39:H39" si="13">SUM(C40:C42)</f>
        <v>177698906.73999998</v>
      </c>
      <c r="D39" s="670">
        <f t="shared" si="13"/>
        <v>218271530</v>
      </c>
      <c r="E39" s="638">
        <f t="shared" si="13"/>
        <v>201708339.57999998</v>
      </c>
      <c r="F39" s="638">
        <f t="shared" si="13"/>
        <v>14923646.77</v>
      </c>
      <c r="G39" s="638">
        <f t="shared" si="13"/>
        <v>65841477.799999997</v>
      </c>
      <c r="H39" s="638">
        <f t="shared" si="13"/>
        <v>57918183.230000004</v>
      </c>
      <c r="I39" s="47">
        <f t="shared" si="10"/>
        <v>7923294.5699999928</v>
      </c>
      <c r="J39" s="200">
        <f t="shared" si="11"/>
        <v>0.13680150391692444</v>
      </c>
      <c r="K39" s="642">
        <f>SUM(K40:K42)</f>
        <v>218271530</v>
      </c>
      <c r="L39" s="100"/>
      <c r="Q39" s="70"/>
    </row>
    <row r="40" spans="1:17" ht="12.75" customHeight="1" x14ac:dyDescent="0.25">
      <c r="A40" s="416" t="s">
        <v>118</v>
      </c>
      <c r="B40" s="426"/>
      <c r="C40" s="643">
        <f>'C2C'!C198</f>
        <v>23180906.649999999</v>
      </c>
      <c r="D40" s="671">
        <f>'C2C'!D198</f>
        <v>28129324</v>
      </c>
      <c r="E40" s="408">
        <f>'C2C'!E198</f>
        <v>25937659</v>
      </c>
      <c r="F40" s="408">
        <f>'C2C'!F198</f>
        <v>2155992.83</v>
      </c>
      <c r="G40" s="408">
        <f>'C2C'!G198</f>
        <v>11077708.280000001</v>
      </c>
      <c r="H40" s="408">
        <f>'C2C'!H198</f>
        <v>10387956.6</v>
      </c>
      <c r="I40" s="47">
        <f t="shared" si="10"/>
        <v>689751.68000000156</v>
      </c>
      <c r="J40" s="200">
        <f t="shared" si="11"/>
        <v>6.6399168437034251E-2</v>
      </c>
      <c r="K40" s="643">
        <f>'C2C'!K198</f>
        <v>28129324</v>
      </c>
      <c r="L40" s="100"/>
      <c r="Q40" s="70"/>
    </row>
    <row r="41" spans="1:17" ht="12.75" customHeight="1" x14ac:dyDescent="0.25">
      <c r="A41" s="416" t="s">
        <v>119</v>
      </c>
      <c r="B41" s="426"/>
      <c r="C41" s="643">
        <f>'C2C'!C209</f>
        <v>154518000.08999997</v>
      </c>
      <c r="D41" s="671">
        <f>'C2C'!D209</f>
        <v>190142206</v>
      </c>
      <c r="E41" s="408">
        <f>'C2C'!E209</f>
        <v>175770680.57999998</v>
      </c>
      <c r="F41" s="408">
        <f>'C2C'!F209</f>
        <v>12767653.939999999</v>
      </c>
      <c r="G41" s="408">
        <f>'C2C'!G209</f>
        <v>54763769.519999996</v>
      </c>
      <c r="H41" s="408">
        <f>'C2C'!H209</f>
        <v>47530226.630000003</v>
      </c>
      <c r="I41" s="47">
        <f t="shared" si="10"/>
        <v>7233542.8899999931</v>
      </c>
      <c r="J41" s="200">
        <f t="shared" si="11"/>
        <v>0.15218826845303415</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612203714.71999991</v>
      </c>
      <c r="D43" s="670">
        <f t="shared" ref="D43:I43" si="14">SUM(D44:D47)</f>
        <v>682668925.91999996</v>
      </c>
      <c r="E43" s="638">
        <f t="shared" si="14"/>
        <v>648743192.88</v>
      </c>
      <c r="F43" s="638">
        <f t="shared" si="14"/>
        <v>38291200.159999996</v>
      </c>
      <c r="G43" s="638">
        <f t="shared" si="14"/>
        <v>160007686.12</v>
      </c>
      <c r="H43" s="638">
        <f t="shared" si="14"/>
        <v>141347025.14000002</v>
      </c>
      <c r="I43" s="47">
        <f t="shared" si="14"/>
        <v>18660660.979999967</v>
      </c>
      <c r="J43" s="200">
        <f t="shared" si="11"/>
        <v>0.13202018904548674</v>
      </c>
      <c r="K43" s="642">
        <f>SUM(K44:K47)</f>
        <v>682668925.91999996</v>
      </c>
      <c r="L43" s="100"/>
      <c r="Q43" s="70"/>
    </row>
    <row r="44" spans="1:17" ht="12.75" customHeight="1" x14ac:dyDescent="0.25">
      <c r="A44" s="416" t="s">
        <v>1200</v>
      </c>
      <c r="B44" s="426"/>
      <c r="C44" s="643">
        <f>'C2C'!C222</f>
        <v>515290068.2899999</v>
      </c>
      <c r="D44" s="671">
        <f>'C2C'!D222</f>
        <v>591014579</v>
      </c>
      <c r="E44" s="408">
        <f>'C2C'!E222</f>
        <v>569099023.00999999</v>
      </c>
      <c r="F44" s="408">
        <f>'C2C'!F222</f>
        <v>32425053.959999993</v>
      </c>
      <c r="G44" s="408">
        <f>'C2C'!G222</f>
        <v>129891713.99999999</v>
      </c>
      <c r="H44" s="408">
        <f>'C2C'!H222</f>
        <v>113847953.94000001</v>
      </c>
      <c r="I44" s="47">
        <f t="shared" si="10"/>
        <v>16043760.059999973</v>
      </c>
      <c r="J44" s="200">
        <f t="shared" si="11"/>
        <v>0.14092269122776974</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4516272.6499999994</v>
      </c>
      <c r="D46" s="672">
        <f>'C2C'!D230</f>
        <v>5765190</v>
      </c>
      <c r="E46" s="673">
        <f>'C2C'!E230</f>
        <v>5017505</v>
      </c>
      <c r="F46" s="673">
        <f>'C2C'!F230</f>
        <v>385928.85</v>
      </c>
      <c r="G46" s="673">
        <f>'C2C'!G230</f>
        <v>1922038.48</v>
      </c>
      <c r="H46" s="673">
        <f>'C2C'!H230</f>
        <v>1856359.44</v>
      </c>
      <c r="I46" s="47">
        <f t="shared" si="10"/>
        <v>65679.040000000037</v>
      </c>
      <c r="J46" s="200">
        <f t="shared" si="11"/>
        <v>3.538056185929167E-2</v>
      </c>
      <c r="K46" s="674">
        <f>'C2C'!K230</f>
        <v>5765190</v>
      </c>
      <c r="L46" s="100"/>
      <c r="Q46" s="70"/>
    </row>
    <row r="47" spans="1:17" ht="12.75" customHeight="1" x14ac:dyDescent="0.25">
      <c r="A47" s="416" t="s">
        <v>123</v>
      </c>
      <c r="B47" s="426"/>
      <c r="C47" s="643">
        <f>'C2C'!C235</f>
        <v>92397373.780000001</v>
      </c>
      <c r="D47" s="671">
        <f>'C2C'!D235</f>
        <v>85889156.920000002</v>
      </c>
      <c r="E47" s="408">
        <f>'C2C'!E235</f>
        <v>74626664.870000005</v>
      </c>
      <c r="F47" s="408">
        <f>'C2C'!F235</f>
        <v>5480217.3500000006</v>
      </c>
      <c r="G47" s="408">
        <f>'C2C'!G235</f>
        <v>28193933.640000001</v>
      </c>
      <c r="H47" s="408">
        <f>'C2C'!H235</f>
        <v>25642711.760000005</v>
      </c>
      <c r="I47" s="47">
        <f t="shared" si="10"/>
        <v>2551221.8799999952</v>
      </c>
      <c r="J47" s="200">
        <f t="shared" si="11"/>
        <v>9.9491110919853618E-2</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1212344673.4400001</v>
      </c>
      <c r="D49" s="599">
        <f t="shared" ref="D49:I49" si="15">D29+D33+D39+D43+D48</f>
        <v>1313896978.96</v>
      </c>
      <c r="E49" s="546">
        <f t="shared" si="15"/>
        <v>1228545633.4200001</v>
      </c>
      <c r="F49" s="546">
        <f t="shared" si="15"/>
        <v>78944125.149999991</v>
      </c>
      <c r="G49" s="546">
        <f t="shared" si="15"/>
        <v>355379000.10000002</v>
      </c>
      <c r="H49" s="546">
        <f t="shared" si="15"/>
        <v>317093145.58000004</v>
      </c>
      <c r="I49" s="546">
        <f t="shared" si="15"/>
        <v>38285854.519999966</v>
      </c>
      <c r="J49" s="600">
        <f t="shared" si="11"/>
        <v>0.12074008868898982</v>
      </c>
      <c r="K49" s="721">
        <f>K29+K33+K39+K43+K48</f>
        <v>1313896978.96</v>
      </c>
      <c r="L49" s="100"/>
      <c r="Q49" s="75"/>
    </row>
    <row r="50" spans="1:17" ht="12.75" customHeight="1" x14ac:dyDescent="0.25">
      <c r="A50" s="94" t="s">
        <v>907</v>
      </c>
      <c r="B50" s="429"/>
      <c r="C50" s="541">
        <f t="shared" ref="C50:H50" si="16">C26-C49</f>
        <v>-76991258.870000124</v>
      </c>
      <c r="D50" s="641">
        <f t="shared" si="16"/>
        <v>45279328.039999962</v>
      </c>
      <c r="E50" s="635">
        <f t="shared" si="16"/>
        <v>124667779.8499949</v>
      </c>
      <c r="F50" s="635">
        <f t="shared" si="16"/>
        <v>30396023.450000003</v>
      </c>
      <c r="G50" s="635">
        <f t="shared" si="16"/>
        <v>253999029.63999999</v>
      </c>
      <c r="H50" s="635">
        <f t="shared" si="16"/>
        <v>230187810.49000001</v>
      </c>
      <c r="I50" s="635">
        <f>I26-I49</f>
        <v>23811219.150000058</v>
      </c>
      <c r="J50" s="639">
        <f>IF(I50=0,"",I50/H50)</f>
        <v>0.10344257195597455</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7" t="s">
        <v>1221</v>
      </c>
      <c r="B55" s="1027"/>
      <c r="C55" s="1027"/>
      <c r="D55" s="1027"/>
      <c r="E55" s="1027"/>
      <c r="F55" s="1027"/>
      <c r="G55" s="1027"/>
      <c r="H55" s="1027"/>
      <c r="I55" s="1027"/>
      <c r="J55" s="1027"/>
      <c r="K55" s="102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5" activePane="bottomRight" state="frozen"/>
      <selection pane="topRight"/>
      <selection pane="bottomLeft"/>
      <selection pane="bottomRight" activeCell="H238" sqref="H238:H239"/>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6" t="str">
        <f>muni&amp; " - "&amp;S71A&amp; " - "&amp;date</f>
        <v>LIM333 Greater Tzaneen - Table C2 Consolidated Monthly Budget Statement - Financial Performance (functional classification)  - M05 November</v>
      </c>
      <c r="B1" s="1026"/>
      <c r="C1" s="1026"/>
      <c r="D1" s="1026"/>
      <c r="E1" s="1026"/>
      <c r="F1" s="1026"/>
      <c r="G1" s="1026"/>
      <c r="H1" s="1026"/>
      <c r="I1" s="1026"/>
      <c r="J1" s="1026"/>
      <c r="K1" s="1026"/>
    </row>
    <row r="2" spans="1:12" ht="13.5" customHeight="1" x14ac:dyDescent="0.25">
      <c r="A2" s="1024" t="str">
        <f>desc</f>
        <v>Description</v>
      </c>
      <c r="B2" s="1022" t="str">
        <f>head27</f>
        <v>Ref</v>
      </c>
      <c r="C2" s="24" t="str">
        <f>Head1</f>
        <v>2018/19</v>
      </c>
      <c r="D2" s="231" t="str">
        <f>Head2</f>
        <v>Budget Year 2019/20</v>
      </c>
      <c r="E2" s="229"/>
      <c r="F2" s="229"/>
      <c r="G2" s="229"/>
      <c r="H2" s="229"/>
      <c r="I2" s="229"/>
      <c r="J2" s="229"/>
      <c r="K2" s="230"/>
    </row>
    <row r="3" spans="1:12"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510994348.56999999</v>
      </c>
      <c r="D6" s="606">
        <f t="shared" si="0"/>
        <v>510038007</v>
      </c>
      <c r="E6" s="606">
        <f t="shared" si="0"/>
        <v>510977113.26999998</v>
      </c>
      <c r="F6" s="606">
        <f t="shared" si="0"/>
        <v>12894509.949999999</v>
      </c>
      <c r="G6" s="606">
        <f t="shared" si="0"/>
        <v>228901148.21000001</v>
      </c>
      <c r="H6" s="606">
        <f t="shared" si="0"/>
        <v>204493579.06999999</v>
      </c>
      <c r="I6" s="633">
        <f>G6-H6</f>
        <v>24407569.140000015</v>
      </c>
      <c r="J6" s="634">
        <f>IF(I6=0,"",I6/H6)</f>
        <v>0.11935616390011486</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v>0</v>
      </c>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510994348.56999999</v>
      </c>
      <c r="D10" s="609">
        <f t="shared" si="4"/>
        <v>510036907</v>
      </c>
      <c r="E10" s="609">
        <f t="shared" si="4"/>
        <v>510976013.26999998</v>
      </c>
      <c r="F10" s="609">
        <f t="shared" si="4"/>
        <v>12894509.949999999</v>
      </c>
      <c r="G10" s="609">
        <f t="shared" si="4"/>
        <v>228901148.21000001</v>
      </c>
      <c r="H10" s="609">
        <f t="shared" si="4"/>
        <v>204493579.06999999</v>
      </c>
      <c r="I10" s="609">
        <f t="shared" ref="I10:I15" si="5">G10-H10</f>
        <v>24407569.140000015</v>
      </c>
      <c r="J10" s="609">
        <f t="shared" ref="J10:J15" si="6">IF(I10=0,"",I10/H10)</f>
        <v>0.11935616390011486</v>
      </c>
      <c r="K10" s="609">
        <f>SUM(K11:K23)</f>
        <v>510036779</v>
      </c>
      <c r="L10" s="100"/>
    </row>
    <row r="11" spans="1:12" x14ac:dyDescent="0.25">
      <c r="A11" s="696" t="s">
        <v>1133</v>
      </c>
      <c r="B11" s="415"/>
      <c r="C11" s="734"/>
      <c r="D11" s="734"/>
      <c r="E11" s="734">
        <v>128</v>
      </c>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v>510246958</v>
      </c>
      <c r="D13" s="734">
        <v>510036778</v>
      </c>
      <c r="E13" s="734">
        <v>510036650</v>
      </c>
      <c r="F13" s="734">
        <v>12894509.949999999</v>
      </c>
      <c r="G13" s="734">
        <v>228901148.21000001</v>
      </c>
      <c r="H13" s="734">
        <v>204443266.22999999</v>
      </c>
      <c r="I13" s="408">
        <f t="shared" si="5"/>
        <v>24457881.980000019</v>
      </c>
      <c r="J13" s="408">
        <f t="shared" si="6"/>
        <v>0.11963163390514778</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v>636404.06999999995</v>
      </c>
      <c r="D15" s="734"/>
      <c r="E15" s="734">
        <v>939106.27</v>
      </c>
      <c r="F15" s="734"/>
      <c r="G15" s="734"/>
      <c r="H15" s="734">
        <v>50312.84</v>
      </c>
      <c r="I15" s="408">
        <f t="shared" si="5"/>
        <v>-50312.84</v>
      </c>
      <c r="J15" s="408">
        <f t="shared" si="6"/>
        <v>-1</v>
      </c>
      <c r="K15" s="736"/>
      <c r="L15" s="100"/>
    </row>
    <row r="16" spans="1:12" x14ac:dyDescent="0.25">
      <c r="A16" s="696" t="s">
        <v>168</v>
      </c>
      <c r="B16" s="415"/>
      <c r="C16" s="734">
        <v>110986.5</v>
      </c>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34735594</v>
      </c>
      <c r="D26" s="606">
        <f t="shared" ref="D26:K26" si="10">D27+D49+D55+D64+D67</f>
        <v>41092127</v>
      </c>
      <c r="E26" s="606">
        <f t="shared" si="10"/>
        <v>41092127</v>
      </c>
      <c r="F26" s="606">
        <f t="shared" si="10"/>
        <v>242709.01</v>
      </c>
      <c r="G26" s="606">
        <f t="shared" si="10"/>
        <v>1637656.06</v>
      </c>
      <c r="H26" s="606">
        <f t="shared" si="10"/>
        <v>2965198</v>
      </c>
      <c r="I26" s="606">
        <f t="shared" si="2"/>
        <v>-1327541.94</v>
      </c>
      <c r="J26" s="606">
        <f t="shared" si="3"/>
        <v>-0.44770768764851454</v>
      </c>
      <c r="K26" s="607">
        <f t="shared" si="10"/>
        <v>41092127</v>
      </c>
      <c r="L26" s="100"/>
    </row>
    <row r="27" spans="1:12" x14ac:dyDescent="0.25">
      <c r="A27" s="608" t="s">
        <v>114</v>
      </c>
      <c r="B27" s="415"/>
      <c r="C27" s="612">
        <f t="shared" ref="C27:H27" si="11">SUM(C28:C48)</f>
        <v>37723</v>
      </c>
      <c r="D27" s="612">
        <f t="shared" si="11"/>
        <v>56136</v>
      </c>
      <c r="E27" s="612">
        <f t="shared" si="11"/>
        <v>56136</v>
      </c>
      <c r="F27" s="612">
        <f t="shared" si="11"/>
        <v>3600</v>
      </c>
      <c r="G27" s="612">
        <f t="shared" si="11"/>
        <v>15506</v>
      </c>
      <c r="H27" s="612">
        <f t="shared" si="11"/>
        <v>12116.5</v>
      </c>
      <c r="I27" s="612">
        <f t="shared" si="2"/>
        <v>3389.5</v>
      </c>
      <c r="J27" s="612">
        <f t="shared" si="3"/>
        <v>0.27974249989683492</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v>37723</v>
      </c>
      <c r="D41" s="734">
        <v>56136</v>
      </c>
      <c r="E41" s="734">
        <v>56136</v>
      </c>
      <c r="F41" s="734">
        <v>3600</v>
      </c>
      <c r="G41" s="734">
        <v>15506</v>
      </c>
      <c r="H41" s="734">
        <v>12116.5</v>
      </c>
      <c r="I41" s="408">
        <f t="shared" si="2"/>
        <v>3389.5</v>
      </c>
      <c r="J41" s="408">
        <f t="shared" si="3"/>
        <v>0.27974249989683492</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124948</v>
      </c>
      <c r="D49" s="612">
        <f t="shared" ref="D49:K49" si="16">SUM(D50:D54)</f>
        <v>560766</v>
      </c>
      <c r="E49" s="612">
        <f t="shared" si="16"/>
        <v>560766</v>
      </c>
      <c r="F49" s="612">
        <f t="shared" si="16"/>
        <v>17277.41</v>
      </c>
      <c r="G49" s="612">
        <f t="shared" si="16"/>
        <v>93103.41</v>
      </c>
      <c r="H49" s="612">
        <f t="shared" si="16"/>
        <v>62992</v>
      </c>
      <c r="I49" s="612">
        <f t="shared" ref="I49:I54" si="17">G49-H49</f>
        <v>30111.410000000003</v>
      </c>
      <c r="J49" s="612">
        <f t="shared" ref="J49:J54" si="18">IF(I49=0,"",I49/H49)</f>
        <v>0.47801958978917963</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v>124948</v>
      </c>
      <c r="D53" s="734">
        <v>560766</v>
      </c>
      <c r="E53" s="734">
        <v>560766</v>
      </c>
      <c r="F53" s="734">
        <v>17277.41</v>
      </c>
      <c r="G53" s="734">
        <v>93103.41</v>
      </c>
      <c r="H53" s="734">
        <v>62992</v>
      </c>
      <c r="I53" s="408">
        <f t="shared" si="17"/>
        <v>30111.410000000003</v>
      </c>
      <c r="J53" s="408">
        <f t="shared" si="18"/>
        <v>0.47801958978917963</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31635630</v>
      </c>
      <c r="D55" s="612">
        <f t="shared" ref="D55:K55" si="19">SUM(D56:D63)</f>
        <v>38001000</v>
      </c>
      <c r="E55" s="612">
        <f t="shared" si="19"/>
        <v>38001000</v>
      </c>
      <c r="F55" s="612">
        <f t="shared" si="19"/>
        <v>132600</v>
      </c>
      <c r="G55" s="612">
        <f t="shared" si="19"/>
        <v>675370</v>
      </c>
      <c r="H55" s="612">
        <f t="shared" si="19"/>
        <v>1541125.5</v>
      </c>
      <c r="I55" s="612">
        <f t="shared" si="2"/>
        <v>-865755.5</v>
      </c>
      <c r="J55" s="612">
        <f t="shared" si="3"/>
        <v>-0.56176833100224477</v>
      </c>
      <c r="K55" s="615">
        <f t="shared" si="19"/>
        <v>38001000</v>
      </c>
      <c r="L55" s="100"/>
    </row>
    <row r="56" spans="1:12" x14ac:dyDescent="0.25">
      <c r="A56" s="696" t="s">
        <v>173</v>
      </c>
      <c r="B56" s="415"/>
      <c r="C56" s="734">
        <v>31635630</v>
      </c>
      <c r="D56" s="734">
        <v>38001000</v>
      </c>
      <c r="E56" s="734">
        <v>38001000</v>
      </c>
      <c r="F56" s="734">
        <v>132600</v>
      </c>
      <c r="G56" s="734">
        <v>675370</v>
      </c>
      <c r="H56" s="734">
        <v>1541125.5</v>
      </c>
      <c r="I56" s="408">
        <f t="shared" si="2"/>
        <v>-865755.5</v>
      </c>
      <c r="J56" s="408">
        <f t="shared" si="3"/>
        <v>-0.56176833100224477</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2724294</v>
      </c>
      <c r="D64" s="612">
        <f t="shared" si="20"/>
        <v>2461225</v>
      </c>
      <c r="E64" s="612">
        <f t="shared" si="20"/>
        <v>2461225</v>
      </c>
      <c r="F64" s="612">
        <f t="shared" si="20"/>
        <v>88164.75</v>
      </c>
      <c r="G64" s="612">
        <f t="shared" si="20"/>
        <v>848342.4</v>
      </c>
      <c r="H64" s="612">
        <f t="shared" si="20"/>
        <v>1345763.45</v>
      </c>
      <c r="I64" s="612">
        <f>G64-H64</f>
        <v>-497421.04999999993</v>
      </c>
      <c r="J64" s="612">
        <f>IF(I64=0,"",I64/H64)</f>
        <v>-0.36961997296032967</v>
      </c>
      <c r="K64" s="615">
        <f>SUM(K65:K66)</f>
        <v>2461225</v>
      </c>
      <c r="L64" s="100"/>
    </row>
    <row r="65" spans="1:12" x14ac:dyDescent="0.25">
      <c r="A65" s="696" t="s">
        <v>722</v>
      </c>
      <c r="B65" s="415"/>
      <c r="C65" s="734">
        <v>2724294</v>
      </c>
      <c r="D65" s="734">
        <v>2461225</v>
      </c>
      <c r="E65" s="734">
        <v>2461225</v>
      </c>
      <c r="F65" s="734">
        <v>88164.75</v>
      </c>
      <c r="G65" s="734">
        <v>848342.4</v>
      </c>
      <c r="H65" s="734">
        <v>1345763.45</v>
      </c>
      <c r="I65" s="408">
        <f>G65-H65</f>
        <v>-497421.04999999993</v>
      </c>
      <c r="J65" s="408">
        <f>IF(I65=0,"",I65/H65)</f>
        <v>-0.36961997296032967</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212999</v>
      </c>
      <c r="D67" s="612">
        <f t="shared" si="21"/>
        <v>13000</v>
      </c>
      <c r="E67" s="612">
        <f t="shared" si="21"/>
        <v>13000</v>
      </c>
      <c r="F67" s="612">
        <f t="shared" si="21"/>
        <v>1066.8499999999999</v>
      </c>
      <c r="G67" s="612">
        <f t="shared" si="21"/>
        <v>5334.25</v>
      </c>
      <c r="H67" s="612">
        <f t="shared" si="21"/>
        <v>3200.55</v>
      </c>
      <c r="I67" s="612">
        <f t="shared" si="2"/>
        <v>2133.6999999999998</v>
      </c>
      <c r="J67" s="612">
        <f t="shared" si="3"/>
        <v>0.66666666666666652</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v>212999</v>
      </c>
      <c r="D69" s="734">
        <v>13000</v>
      </c>
      <c r="E69" s="734">
        <v>13000</v>
      </c>
      <c r="F69" s="734">
        <v>1066.8499999999999</v>
      </c>
      <c r="G69" s="734">
        <v>5334.25</v>
      </c>
      <c r="H69" s="734">
        <v>3200.55</v>
      </c>
      <c r="I69" s="408">
        <f t="shared" si="2"/>
        <v>2133.6999999999998</v>
      </c>
      <c r="J69" s="408">
        <f t="shared" si="3"/>
        <v>0.66666666666666652</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91410007</v>
      </c>
      <c r="D75" s="606">
        <f t="shared" si="22"/>
        <v>148244516</v>
      </c>
      <c r="E75" s="606">
        <f t="shared" si="22"/>
        <v>148244516</v>
      </c>
      <c r="F75" s="606">
        <f t="shared" si="22"/>
        <v>37316520.479999997</v>
      </c>
      <c r="G75" s="606">
        <f t="shared" si="22"/>
        <v>91969313.939999998</v>
      </c>
      <c r="H75" s="606">
        <f t="shared" si="22"/>
        <v>80194140.299999997</v>
      </c>
      <c r="I75" s="606">
        <f t="shared" si="2"/>
        <v>11775173.640000001</v>
      </c>
      <c r="J75" s="606">
        <f t="shared" si="3"/>
        <v>0.14683334213634561</v>
      </c>
      <c r="K75" s="607">
        <f>K76+K87+K92</f>
        <v>148244516</v>
      </c>
      <c r="L75" s="100"/>
    </row>
    <row r="76" spans="1:12" x14ac:dyDescent="0.25">
      <c r="A76" s="608" t="s">
        <v>118</v>
      </c>
      <c r="B76" s="417"/>
      <c r="C76" s="612">
        <f t="shared" ref="C76:H76" si="23">SUM(C77:C86)</f>
        <v>233505</v>
      </c>
      <c r="D76" s="612">
        <f t="shared" si="23"/>
        <v>300125</v>
      </c>
      <c r="E76" s="612">
        <f t="shared" si="23"/>
        <v>300125</v>
      </c>
      <c r="F76" s="612">
        <f t="shared" si="23"/>
        <v>46729</v>
      </c>
      <c r="G76" s="612">
        <f t="shared" si="23"/>
        <v>129735</v>
      </c>
      <c r="H76" s="612">
        <f t="shared" si="23"/>
        <v>119370</v>
      </c>
      <c r="I76" s="612">
        <f t="shared" si="2"/>
        <v>10365</v>
      </c>
      <c r="J76" s="612">
        <f t="shared" si="3"/>
        <v>8.6830862025634586E-2</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v>100</v>
      </c>
      <c r="G81" s="734">
        <v>1360</v>
      </c>
      <c r="H81" s="734"/>
      <c r="I81" s="408">
        <f>G81-H81</f>
        <v>1360</v>
      </c>
      <c r="J81" s="408" t="e">
        <f>IF(I81=0,"",I81/H81)</f>
        <v>#DIV/0!</v>
      </c>
      <c r="K81" s="736">
        <v>100125</v>
      </c>
      <c r="L81" s="100"/>
    </row>
    <row r="82" spans="1:12" x14ac:dyDescent="0.25">
      <c r="A82" s="696" t="s">
        <v>1185</v>
      </c>
      <c r="B82" s="417"/>
      <c r="C82" s="734">
        <v>233505</v>
      </c>
      <c r="D82" s="734">
        <v>200000</v>
      </c>
      <c r="E82" s="734">
        <v>200000</v>
      </c>
      <c r="F82" s="734">
        <v>46629</v>
      </c>
      <c r="G82" s="734">
        <v>128375</v>
      </c>
      <c r="H82" s="734">
        <v>119370</v>
      </c>
      <c r="I82" s="408">
        <f>G82-H82</f>
        <v>9005</v>
      </c>
      <c r="J82" s="408">
        <f>IF(I82=0,"",I82/H82)</f>
        <v>7.5437714668677228E-2</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91176502</v>
      </c>
      <c r="D87" s="612">
        <f t="shared" si="24"/>
        <v>147944391</v>
      </c>
      <c r="E87" s="612">
        <f t="shared" si="24"/>
        <v>147944391</v>
      </c>
      <c r="F87" s="612">
        <f t="shared" si="24"/>
        <v>37269791.479999997</v>
      </c>
      <c r="G87" s="612">
        <f t="shared" si="24"/>
        <v>91839578.939999998</v>
      </c>
      <c r="H87" s="612">
        <f t="shared" si="24"/>
        <v>80074770.299999997</v>
      </c>
      <c r="I87" s="612">
        <f t="shared" si="2"/>
        <v>11764808.640000001</v>
      </c>
      <c r="J87" s="612">
        <f t="shared" si="3"/>
        <v>0.14692278973668191</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f>76150621+15025881</f>
        <v>91176502</v>
      </c>
      <c r="D90" s="734">
        <v>147944391</v>
      </c>
      <c r="E90" s="734">
        <v>147944391</v>
      </c>
      <c r="F90" s="734">
        <v>37269791.479999997</v>
      </c>
      <c r="G90" s="734">
        <v>91839578.939999998</v>
      </c>
      <c r="H90" s="734">
        <v>80074770.299999997</v>
      </c>
      <c r="I90" s="408">
        <f t="shared" si="2"/>
        <v>11764808.640000001</v>
      </c>
      <c r="J90" s="408">
        <f t="shared" si="3"/>
        <v>0.14692278973668191</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498213465</v>
      </c>
      <c r="D99" s="606">
        <f t="shared" ref="D99:I99" si="26">D100+D104+D108+D113</f>
        <v>659801657</v>
      </c>
      <c r="E99" s="606">
        <f t="shared" si="26"/>
        <v>652899656.99999499</v>
      </c>
      <c r="F99" s="606">
        <f t="shared" si="26"/>
        <v>58886409.160000004</v>
      </c>
      <c r="G99" s="606">
        <f t="shared" si="26"/>
        <v>286869911.53000003</v>
      </c>
      <c r="H99" s="606">
        <f t="shared" si="26"/>
        <v>259628038.70000002</v>
      </c>
      <c r="I99" s="606">
        <f t="shared" si="26"/>
        <v>27241872.830000006</v>
      </c>
      <c r="J99" s="606">
        <f t="shared" si="3"/>
        <v>0.10492654401429256</v>
      </c>
      <c r="K99" s="607">
        <f>K100+K104+K108+K113</f>
        <v>659801657</v>
      </c>
      <c r="L99" s="100"/>
    </row>
    <row r="100" spans="1:12" x14ac:dyDescent="0.25">
      <c r="A100" s="608" t="s">
        <v>1200</v>
      </c>
      <c r="B100" s="417"/>
      <c r="C100" s="612">
        <f>SUM(C101:C103)</f>
        <v>459468534</v>
      </c>
      <c r="D100" s="612">
        <f t="shared" ref="D100:K100" si="27">SUM(D101:D103)</f>
        <v>597331000</v>
      </c>
      <c r="E100" s="612">
        <f t="shared" si="27"/>
        <v>590428999.99999499</v>
      </c>
      <c r="F100" s="612">
        <f t="shared" si="27"/>
        <v>53324354.920000002</v>
      </c>
      <c r="G100" s="612">
        <f t="shared" si="27"/>
        <v>268496688.68000001</v>
      </c>
      <c r="H100" s="612">
        <f t="shared" si="27"/>
        <v>242881780.12</v>
      </c>
      <c r="I100" s="612">
        <f t="shared" si="2"/>
        <v>25614908.560000002</v>
      </c>
      <c r="J100" s="612">
        <f t="shared" si="3"/>
        <v>0.10546245398623358</v>
      </c>
      <c r="K100" s="615">
        <f t="shared" si="27"/>
        <v>597331000</v>
      </c>
      <c r="L100" s="100"/>
    </row>
    <row r="101" spans="1:12" x14ac:dyDescent="0.25">
      <c r="A101" s="696" t="s">
        <v>1201</v>
      </c>
      <c r="B101" s="417"/>
      <c r="C101" s="734">
        <v>459468534</v>
      </c>
      <c r="D101" s="734">
        <v>597331000</v>
      </c>
      <c r="E101" s="734">
        <v>590428999.99999499</v>
      </c>
      <c r="F101" s="734">
        <v>53324354.920000002</v>
      </c>
      <c r="G101" s="734">
        <v>268496688.68000001</v>
      </c>
      <c r="H101" s="734">
        <v>242881780.12</v>
      </c>
      <c r="I101" s="408">
        <f t="shared" si="2"/>
        <v>25614908.560000002</v>
      </c>
      <c r="J101" s="408">
        <f t="shared" si="3"/>
        <v>0.10546245398623358</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38744931</v>
      </c>
      <c r="D113" s="612">
        <f t="shared" si="30"/>
        <v>62470657</v>
      </c>
      <c r="E113" s="612">
        <f t="shared" si="30"/>
        <v>62470657</v>
      </c>
      <c r="F113" s="612">
        <f t="shared" si="30"/>
        <v>5562054.2400000002</v>
      </c>
      <c r="G113" s="612">
        <f t="shared" si="30"/>
        <v>18373222.850000001</v>
      </c>
      <c r="H113" s="612">
        <f t="shared" si="30"/>
        <v>16746258.58</v>
      </c>
      <c r="I113" s="612">
        <f t="shared" si="2"/>
        <v>1626964.2700000014</v>
      </c>
      <c r="J113" s="612">
        <f t="shared" si="3"/>
        <v>9.7153896330197567E-2</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v>38744931</v>
      </c>
      <c r="D116" s="734">
        <v>62470657</v>
      </c>
      <c r="E116" s="734">
        <v>62470657</v>
      </c>
      <c r="F116" s="734">
        <v>5562054.2400000002</v>
      </c>
      <c r="G116" s="734">
        <v>18373222.850000001</v>
      </c>
      <c r="H116" s="734">
        <v>16746258.58</v>
      </c>
      <c r="I116" s="408">
        <f t="shared" si="2"/>
        <v>1626964.2700000014</v>
      </c>
      <c r="J116" s="408">
        <f t="shared" si="3"/>
        <v>9.7153896330197567E-2</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1135353414.5699999</v>
      </c>
      <c r="D125" s="617">
        <f t="shared" si="32"/>
        <v>1359176307</v>
      </c>
      <c r="E125" s="617">
        <f t="shared" si="32"/>
        <v>1353213413.269995</v>
      </c>
      <c r="F125" s="617">
        <f t="shared" si="32"/>
        <v>109340148.59999999</v>
      </c>
      <c r="G125" s="617">
        <f t="shared" si="32"/>
        <v>609378029.74000001</v>
      </c>
      <c r="H125" s="617">
        <f t="shared" si="32"/>
        <v>547280956.07000005</v>
      </c>
      <c r="I125" s="617">
        <f>G125-H125</f>
        <v>62097073.669999957</v>
      </c>
      <c r="J125" s="617">
        <f>IF(I125=0,"",I125/H125)</f>
        <v>0.1134647076264379</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312355428.33000004</v>
      </c>
      <c r="D128" s="606">
        <f t="shared" si="34"/>
        <v>288608919.03999996</v>
      </c>
      <c r="E128" s="606">
        <f t="shared" si="34"/>
        <v>266187849.24000001</v>
      </c>
      <c r="F128" s="606">
        <f t="shared" si="34"/>
        <v>19312518.599999998</v>
      </c>
      <c r="G128" s="606">
        <f t="shared" si="34"/>
        <v>96155250.540000021</v>
      </c>
      <c r="H128" s="606">
        <f t="shared" si="34"/>
        <v>87084283.140000015</v>
      </c>
      <c r="I128" s="606">
        <f t="shared" ref="I128:I244" si="35">G128-H128</f>
        <v>9070967.400000006</v>
      </c>
      <c r="J128" s="606">
        <f t="shared" ref="J128:J244" si="36">IF(I128=0,"",I128/H128)</f>
        <v>0.10416308285408026</v>
      </c>
      <c r="K128" s="607">
        <f>K129+K132+K146</f>
        <v>288608919.03999996</v>
      </c>
      <c r="L128" s="100"/>
    </row>
    <row r="129" spans="1:12" x14ac:dyDescent="0.25">
      <c r="A129" s="608" t="str">
        <f t="shared" si="33"/>
        <v>Executive and council</v>
      </c>
      <c r="B129" s="621"/>
      <c r="C129" s="609">
        <f t="shared" ref="C129:K129" si="37">SUM(C130:C131)</f>
        <v>39479040.049999997</v>
      </c>
      <c r="D129" s="609">
        <f t="shared" si="37"/>
        <v>45329387</v>
      </c>
      <c r="E129" s="609">
        <f t="shared" si="37"/>
        <v>41937927.629999995</v>
      </c>
      <c r="F129" s="609">
        <f t="shared" si="37"/>
        <v>3061512.26</v>
      </c>
      <c r="G129" s="609">
        <f t="shared" si="37"/>
        <v>16301619.73</v>
      </c>
      <c r="H129" s="609">
        <f t="shared" si="37"/>
        <v>15052350.75</v>
      </c>
      <c r="I129" s="609">
        <f t="shared" si="35"/>
        <v>1249268.9800000004</v>
      </c>
      <c r="J129" s="609">
        <f t="shared" si="36"/>
        <v>8.2994942168750654E-2</v>
      </c>
      <c r="K129" s="611">
        <f t="shared" si="37"/>
        <v>45329387</v>
      </c>
      <c r="L129" s="100"/>
    </row>
    <row r="130" spans="1:12" x14ac:dyDescent="0.25">
      <c r="A130" s="696" t="str">
        <f t="shared" si="33"/>
        <v>Mayor and Council</v>
      </c>
      <c r="B130" s="621"/>
      <c r="C130" s="734">
        <v>36394995.489999995</v>
      </c>
      <c r="D130" s="734">
        <v>41214570</v>
      </c>
      <c r="E130" s="734">
        <v>38785779.939999998</v>
      </c>
      <c r="F130" s="734">
        <v>2822982.8499999996</v>
      </c>
      <c r="G130" s="734">
        <v>15168324.720000001</v>
      </c>
      <c r="H130" s="734">
        <v>13888385.040000001</v>
      </c>
      <c r="I130" s="408">
        <f t="shared" si="35"/>
        <v>1279939.6799999997</v>
      </c>
      <c r="J130" s="408">
        <f t="shared" si="36"/>
        <v>9.2159000223110146E-2</v>
      </c>
      <c r="K130" s="736">
        <v>41214570</v>
      </c>
      <c r="L130" s="100"/>
    </row>
    <row r="131" spans="1:12" ht="18.600000000000001" customHeight="1" x14ac:dyDescent="0.25">
      <c r="A131" s="696" t="str">
        <f t="shared" si="33"/>
        <v>Municipal Manager, Town Secretary and Chief Executive</v>
      </c>
      <c r="B131" s="621"/>
      <c r="C131" s="734">
        <v>3084044.56</v>
      </c>
      <c r="D131" s="734">
        <v>4114817</v>
      </c>
      <c r="E131" s="734">
        <v>3152147.69</v>
      </c>
      <c r="F131" s="734">
        <v>238529.41</v>
      </c>
      <c r="G131" s="734">
        <v>1133295.0099999998</v>
      </c>
      <c r="H131" s="734">
        <v>1163965.71</v>
      </c>
      <c r="I131" s="408">
        <f t="shared" si="35"/>
        <v>-30670.700000000186</v>
      </c>
      <c r="J131" s="408">
        <f t="shared" si="36"/>
        <v>-2.6350174868983198E-2</v>
      </c>
      <c r="K131" s="736">
        <v>4114817</v>
      </c>
      <c r="L131" s="100"/>
    </row>
    <row r="132" spans="1:12" x14ac:dyDescent="0.25">
      <c r="A132" s="608" t="str">
        <f t="shared" si="33"/>
        <v>Finance and administration</v>
      </c>
      <c r="B132" s="621"/>
      <c r="C132" s="609">
        <f t="shared" ref="C132:H132" si="38">SUM(C133:C145)</f>
        <v>268538658.74000001</v>
      </c>
      <c r="D132" s="609">
        <f t="shared" si="38"/>
        <v>237515265.03999999</v>
      </c>
      <c r="E132" s="609">
        <f t="shared" si="38"/>
        <v>218734709.61000001</v>
      </c>
      <c r="F132" s="609">
        <f t="shared" si="38"/>
        <v>15914072.51</v>
      </c>
      <c r="G132" s="609">
        <f t="shared" si="38"/>
        <v>77815751.730000019</v>
      </c>
      <c r="H132" s="609">
        <f t="shared" si="38"/>
        <v>70192398.13000001</v>
      </c>
      <c r="I132" s="609">
        <f t="shared" si="35"/>
        <v>7623353.6000000089</v>
      </c>
      <c r="J132" s="609">
        <f t="shared" si="36"/>
        <v>0.10860654149301406</v>
      </c>
      <c r="K132" s="609">
        <f>SUM(K133:K145)</f>
        <v>237515265.03999999</v>
      </c>
      <c r="L132" s="100"/>
    </row>
    <row r="133" spans="1:12" x14ac:dyDescent="0.25">
      <c r="A133" s="696" t="str">
        <f t="shared" si="33"/>
        <v>Administrative and Corporate Support</v>
      </c>
      <c r="B133" s="415"/>
      <c r="C133" s="734">
        <v>25662492.789999992</v>
      </c>
      <c r="D133" s="734">
        <v>28652494.329999998</v>
      </c>
      <c r="E133" s="734">
        <v>27407834.229999997</v>
      </c>
      <c r="F133" s="734">
        <v>2116737.64</v>
      </c>
      <c r="G133" s="734">
        <v>11173550.950000003</v>
      </c>
      <c r="H133" s="734">
        <v>9851188.5300000012</v>
      </c>
      <c r="I133" s="408">
        <f t="shared" si="35"/>
        <v>1322362.4200000018</v>
      </c>
      <c r="J133" s="408">
        <f t="shared" si="36"/>
        <v>0.13423379483328207</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v>175469385.33000001</v>
      </c>
      <c r="D135" s="734">
        <v>107525375</v>
      </c>
      <c r="E135" s="734">
        <v>96356497</v>
      </c>
      <c r="F135" s="734">
        <v>5372220.4899999993</v>
      </c>
      <c r="G135" s="734">
        <v>27992099.920000013</v>
      </c>
      <c r="H135" s="734">
        <v>31401159.880000003</v>
      </c>
      <c r="I135" s="408">
        <f t="shared" si="35"/>
        <v>-3409059.9599999897</v>
      </c>
      <c r="J135" s="408">
        <f t="shared" si="36"/>
        <v>-0.10856477827659114</v>
      </c>
      <c r="K135" s="736">
        <v>107525375</v>
      </c>
      <c r="L135" s="100"/>
    </row>
    <row r="136" spans="1:12" x14ac:dyDescent="0.25">
      <c r="A136" s="696" t="str">
        <f t="shared" si="33"/>
        <v>Fleet Management</v>
      </c>
      <c r="B136" s="415"/>
      <c r="C136" s="734">
        <v>4432754.469999996</v>
      </c>
      <c r="D136" s="734">
        <v>37705901.710000001</v>
      </c>
      <c r="E136" s="734">
        <v>33891492.710000001</v>
      </c>
      <c r="F136" s="734">
        <v>1665354.7399999998</v>
      </c>
      <c r="G136" s="734">
        <v>7529110.7399999993</v>
      </c>
      <c r="H136" s="734">
        <v>78841.559999999125</v>
      </c>
      <c r="I136" s="408">
        <f t="shared" si="35"/>
        <v>7450269.1799999997</v>
      </c>
      <c r="J136" s="408">
        <f t="shared" si="36"/>
        <v>94.496724570138923</v>
      </c>
      <c r="K136" s="736">
        <v>37705901.710000001</v>
      </c>
      <c r="L136" s="100"/>
    </row>
    <row r="137" spans="1:12" x14ac:dyDescent="0.25">
      <c r="A137" s="696" t="str">
        <f t="shared" si="33"/>
        <v>Human Resources</v>
      </c>
      <c r="B137" s="415"/>
      <c r="C137" s="734">
        <v>9556065.870000001</v>
      </c>
      <c r="D137" s="734">
        <v>13353482</v>
      </c>
      <c r="E137" s="734">
        <v>13070163.170000002</v>
      </c>
      <c r="F137" s="734">
        <v>1531319.8099999998</v>
      </c>
      <c r="G137" s="734">
        <v>5872635.6100000003</v>
      </c>
      <c r="H137" s="734">
        <v>4693596.05</v>
      </c>
      <c r="I137" s="408">
        <f t="shared" si="35"/>
        <v>1179039.5600000005</v>
      </c>
      <c r="J137" s="408">
        <f t="shared" si="36"/>
        <v>0.25120175393023025</v>
      </c>
      <c r="K137" s="736">
        <v>13353482</v>
      </c>
      <c r="L137" s="100"/>
    </row>
    <row r="138" spans="1:12" x14ac:dyDescent="0.25">
      <c r="A138" s="696" t="str">
        <f t="shared" si="33"/>
        <v>Information Technology</v>
      </c>
      <c r="B138" s="415"/>
      <c r="C138" s="734">
        <v>10598289.42</v>
      </c>
      <c r="D138" s="734">
        <v>17560754</v>
      </c>
      <c r="E138" s="734">
        <v>16013149</v>
      </c>
      <c r="F138" s="734">
        <v>1401058.97</v>
      </c>
      <c r="G138" s="734">
        <v>5325345.330000001</v>
      </c>
      <c r="H138" s="734">
        <v>4206034.47</v>
      </c>
      <c r="I138" s="408">
        <f t="shared" si="35"/>
        <v>1119310.8600000013</v>
      </c>
      <c r="J138" s="408">
        <f t="shared" si="36"/>
        <v>0.26612022987058431</v>
      </c>
      <c r="K138" s="736">
        <v>17560754</v>
      </c>
      <c r="L138" s="100"/>
    </row>
    <row r="139" spans="1:12" x14ac:dyDescent="0.25">
      <c r="A139" s="696" t="str">
        <f t="shared" si="33"/>
        <v>Legal Services</v>
      </c>
      <c r="B139" s="415"/>
      <c r="C139" s="734">
        <v>22170045.860000003</v>
      </c>
      <c r="D139" s="734">
        <v>15447452</v>
      </c>
      <c r="E139" s="734">
        <v>15315876</v>
      </c>
      <c r="F139" s="734">
        <v>2462363.2899999996</v>
      </c>
      <c r="G139" s="734">
        <v>12466346.99</v>
      </c>
      <c r="H139" s="734">
        <v>13151812.26</v>
      </c>
      <c r="I139" s="408">
        <f t="shared" si="35"/>
        <v>-685465.26999999955</v>
      </c>
      <c r="J139" s="408">
        <f t="shared" si="36"/>
        <v>-5.2119453688126136E-2</v>
      </c>
      <c r="K139" s="736">
        <v>15447452</v>
      </c>
      <c r="L139" s="100"/>
    </row>
    <row r="140" spans="1:12" ht="22.5" x14ac:dyDescent="0.25">
      <c r="A140" s="696" t="str">
        <f t="shared" si="33"/>
        <v>Marketing, Customer Relations, Publicity and Media Co-ordination</v>
      </c>
      <c r="B140" s="415"/>
      <c r="C140" s="734">
        <v>3887705.85</v>
      </c>
      <c r="D140" s="734">
        <v>3817572</v>
      </c>
      <c r="E140" s="734">
        <v>3557663.5</v>
      </c>
      <c r="F140" s="734">
        <v>241437.91999999995</v>
      </c>
      <c r="G140" s="734">
        <v>1489184.5</v>
      </c>
      <c r="H140" s="734">
        <v>1604410.03</v>
      </c>
      <c r="I140" s="408">
        <f t="shared" si="35"/>
        <v>-115225.53000000003</v>
      </c>
      <c r="J140" s="408">
        <f t="shared" si="36"/>
        <v>-7.1818006522933561E-2</v>
      </c>
      <c r="K140" s="736">
        <v>3817572</v>
      </c>
      <c r="L140" s="100"/>
    </row>
    <row r="141" spans="1:12" x14ac:dyDescent="0.25">
      <c r="A141" s="696" t="str">
        <f t="shared" si="33"/>
        <v>Property Services</v>
      </c>
      <c r="B141" s="415"/>
      <c r="C141" s="734">
        <v>10550600.58</v>
      </c>
      <c r="D141" s="734">
        <v>7190800</v>
      </c>
      <c r="E141" s="734">
        <v>6914282</v>
      </c>
      <c r="F141" s="734">
        <v>516538.33999999997</v>
      </c>
      <c r="G141" s="734">
        <v>2976711.5300000012</v>
      </c>
      <c r="H141" s="734">
        <v>2758155.65</v>
      </c>
      <c r="I141" s="408">
        <f t="shared" si="35"/>
        <v>218555.88000000129</v>
      </c>
      <c r="J141" s="408">
        <f t="shared" si="36"/>
        <v>7.923986450873477E-2</v>
      </c>
      <c r="K141" s="736">
        <v>7190800</v>
      </c>
      <c r="L141" s="100"/>
    </row>
    <row r="142" spans="1:12" x14ac:dyDescent="0.25">
      <c r="A142" s="696" t="str">
        <f t="shared" si="33"/>
        <v>Risk Management</v>
      </c>
      <c r="B142" s="415"/>
      <c r="C142" s="734">
        <v>2020230.06</v>
      </c>
      <c r="D142" s="734">
        <v>2096278</v>
      </c>
      <c r="E142" s="734">
        <v>2062000</v>
      </c>
      <c r="F142" s="734">
        <v>155396.82999999999</v>
      </c>
      <c r="G142" s="734">
        <v>799189.19999999984</v>
      </c>
      <c r="H142" s="734">
        <v>770257.8</v>
      </c>
      <c r="I142" s="408">
        <f t="shared" si="35"/>
        <v>28931.39999999979</v>
      </c>
      <c r="J142" s="408">
        <f t="shared" si="36"/>
        <v>3.7560671245393154E-2</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v>4191088.5099999993</v>
      </c>
      <c r="D144" s="734">
        <v>4165156</v>
      </c>
      <c r="E144" s="734">
        <v>4145752</v>
      </c>
      <c r="F144" s="734">
        <v>451644.47999999992</v>
      </c>
      <c r="G144" s="734">
        <v>2191576.96</v>
      </c>
      <c r="H144" s="734">
        <v>1676941.9</v>
      </c>
      <c r="I144" s="408">
        <f t="shared" si="35"/>
        <v>514635.06000000006</v>
      </c>
      <c r="J144" s="408">
        <f t="shared" si="36"/>
        <v>0.30688902221359016</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4337729.540000001</v>
      </c>
      <c r="D146" s="609">
        <f t="shared" si="39"/>
        <v>5764267</v>
      </c>
      <c r="E146" s="609">
        <f t="shared" si="39"/>
        <v>5515212</v>
      </c>
      <c r="F146" s="609">
        <f t="shared" si="39"/>
        <v>336933.83</v>
      </c>
      <c r="G146" s="609">
        <f t="shared" si="39"/>
        <v>2037879.0799999998</v>
      </c>
      <c r="H146" s="609">
        <f t="shared" si="39"/>
        <v>1839534.26</v>
      </c>
      <c r="I146" s="609">
        <f t="shared" si="35"/>
        <v>198344.81999999983</v>
      </c>
      <c r="J146" s="609">
        <f t="shared" si="36"/>
        <v>0.10782339003569297</v>
      </c>
      <c r="K146" s="611">
        <f>SUM(K147:K147)</f>
        <v>5764267</v>
      </c>
      <c r="L146" s="100"/>
    </row>
    <row r="147" spans="1:12" x14ac:dyDescent="0.25">
      <c r="A147" s="696" t="str">
        <f t="shared" si="33"/>
        <v>Governance Function</v>
      </c>
      <c r="B147" s="621"/>
      <c r="C147" s="734">
        <v>4337729.540000001</v>
      </c>
      <c r="D147" s="734">
        <v>5764267</v>
      </c>
      <c r="E147" s="734">
        <v>5515212</v>
      </c>
      <c r="F147" s="734">
        <v>336933.83</v>
      </c>
      <c r="G147" s="734">
        <v>2037879.0799999998</v>
      </c>
      <c r="H147" s="734">
        <v>1839534.26</v>
      </c>
      <c r="I147" s="408">
        <f t="shared" si="35"/>
        <v>198344.81999999983</v>
      </c>
      <c r="J147" s="408">
        <f t="shared" si="36"/>
        <v>0.10782339003569297</v>
      </c>
      <c r="K147" s="736">
        <v>5764267</v>
      </c>
      <c r="L147" s="100"/>
    </row>
    <row r="148" spans="1:12" x14ac:dyDescent="0.25">
      <c r="A148" s="414" t="str">
        <f t="shared" si="33"/>
        <v>Community and public safety</v>
      </c>
      <c r="B148" s="621"/>
      <c r="C148" s="606">
        <f t="shared" ref="C148:H148" si="40">C149+C171+C177+C186+C189</f>
        <v>110086623.64999999</v>
      </c>
      <c r="D148" s="606">
        <f t="shared" si="40"/>
        <v>124347604</v>
      </c>
      <c r="E148" s="606">
        <f t="shared" si="40"/>
        <v>111906251.72</v>
      </c>
      <c r="F148" s="606">
        <f t="shared" si="40"/>
        <v>6416759.6199999992</v>
      </c>
      <c r="G148" s="606">
        <f t="shared" si="40"/>
        <v>33374585.640000004</v>
      </c>
      <c r="H148" s="606">
        <f t="shared" si="40"/>
        <v>30743654.07</v>
      </c>
      <c r="I148" s="606">
        <f t="shared" si="35"/>
        <v>2630931.570000004</v>
      </c>
      <c r="J148" s="606">
        <f t="shared" si="36"/>
        <v>8.557641079390417E-2</v>
      </c>
      <c r="K148" s="607">
        <f>K149+K171+K177+K186+K189</f>
        <v>124347604</v>
      </c>
      <c r="L148" s="100"/>
    </row>
    <row r="149" spans="1:12" x14ac:dyDescent="0.25">
      <c r="A149" s="608" t="str">
        <f t="shared" si="33"/>
        <v>Community and social services</v>
      </c>
      <c r="B149" s="621"/>
      <c r="C149" s="612">
        <f t="shared" ref="C149:H149" si="41">SUM(C150:C170)</f>
        <v>11067663.879999999</v>
      </c>
      <c r="D149" s="612">
        <f t="shared" si="41"/>
        <v>12614844</v>
      </c>
      <c r="E149" s="612">
        <f t="shared" si="41"/>
        <v>12318705.5</v>
      </c>
      <c r="F149" s="612">
        <f t="shared" si="41"/>
        <v>964088.48</v>
      </c>
      <c r="G149" s="612">
        <f t="shared" si="41"/>
        <v>5128755.9300000006</v>
      </c>
      <c r="H149" s="612">
        <f t="shared" si="41"/>
        <v>5218873.8899999997</v>
      </c>
      <c r="I149" s="612">
        <f t="shared" si="35"/>
        <v>-90117.959999999031</v>
      </c>
      <c r="J149" s="612">
        <f t="shared" si="36"/>
        <v>-1.7267702170898604E-2</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v>2086387.5499999998</v>
      </c>
      <c r="D158" s="734">
        <v>2562316</v>
      </c>
      <c r="E158" s="734">
        <v>2542491</v>
      </c>
      <c r="F158" s="734">
        <v>191279.84999999998</v>
      </c>
      <c r="G158" s="734">
        <v>1106889.4400000002</v>
      </c>
      <c r="H158" s="734">
        <v>1179248.82</v>
      </c>
      <c r="I158" s="408">
        <f>G158-H158</f>
        <v>-72359.379999999888</v>
      </c>
      <c r="J158" s="408">
        <f>IF(I158=0,"",I158/H158)</f>
        <v>-6.1360570197560076E-2</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v>8981276.3300000001</v>
      </c>
      <c r="D163" s="734">
        <v>10052528</v>
      </c>
      <c r="E163" s="734">
        <v>9776214.5</v>
      </c>
      <c r="F163" s="734">
        <v>772808.63</v>
      </c>
      <c r="G163" s="734">
        <v>4021866.49</v>
      </c>
      <c r="H163" s="734">
        <v>4039625.07</v>
      </c>
      <c r="I163" s="408">
        <f t="shared" si="42"/>
        <v>-17758.579999999609</v>
      </c>
      <c r="J163" s="408">
        <f t="shared" si="43"/>
        <v>-4.3960960961160712E-3</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23016098.579999998</v>
      </c>
      <c r="D171" s="612">
        <f t="shared" si="45"/>
        <v>27120105</v>
      </c>
      <c r="E171" s="612">
        <f t="shared" si="45"/>
        <v>25317366</v>
      </c>
      <c r="F171" s="612">
        <f t="shared" si="45"/>
        <v>1833747.55</v>
      </c>
      <c r="G171" s="612">
        <f t="shared" si="45"/>
        <v>9944993.9700000007</v>
      </c>
      <c r="H171" s="612">
        <f t="shared" si="45"/>
        <v>9259298.5200000014</v>
      </c>
      <c r="I171" s="612">
        <f t="shared" ref="I171:I176" si="46">G171-H171</f>
        <v>685695.44999999925</v>
      </c>
      <c r="J171" s="612">
        <f t="shared" ref="J171:J176" si="47">IF(I171=0,"",I171/H171)</f>
        <v>7.4054794595822052E-2</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v>23016098.579999998</v>
      </c>
      <c r="D175" s="734">
        <v>27120105</v>
      </c>
      <c r="E175" s="734">
        <v>25317366</v>
      </c>
      <c r="F175" s="734">
        <v>1833747.55</v>
      </c>
      <c r="G175" s="734">
        <v>9944993.9700000007</v>
      </c>
      <c r="H175" s="734">
        <v>9259298.5200000014</v>
      </c>
      <c r="I175" s="408">
        <f t="shared" si="46"/>
        <v>685695.44999999925</v>
      </c>
      <c r="J175" s="408">
        <f t="shared" si="47"/>
        <v>7.4054794595822052E-2</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53110645</v>
      </c>
      <c r="D177" s="612">
        <f t="shared" si="48"/>
        <v>56026008</v>
      </c>
      <c r="E177" s="612">
        <f t="shared" si="48"/>
        <v>47159665</v>
      </c>
      <c r="F177" s="612">
        <f t="shared" si="48"/>
        <v>1394127.05</v>
      </c>
      <c r="G177" s="612">
        <f t="shared" si="48"/>
        <v>7598188.7400000002</v>
      </c>
      <c r="H177" s="612">
        <f t="shared" si="48"/>
        <v>6641979.7300000004</v>
      </c>
      <c r="I177" s="612">
        <f t="shared" si="35"/>
        <v>956209.00999999978</v>
      </c>
      <c r="J177" s="612">
        <f t="shared" si="36"/>
        <v>0.14396445771748836</v>
      </c>
      <c r="K177" s="615">
        <f t="shared" si="48"/>
        <v>56026008</v>
      </c>
      <c r="L177" s="100"/>
    </row>
    <row r="178" spans="1:12" x14ac:dyDescent="0.25">
      <c r="A178" s="696" t="str">
        <f t="shared" si="44"/>
        <v>Civil Defence</v>
      </c>
      <c r="B178" s="621"/>
      <c r="C178" s="734">
        <f>16183047+36927598</f>
        <v>53110645</v>
      </c>
      <c r="D178" s="734">
        <v>56026008</v>
      </c>
      <c r="E178" s="734">
        <v>47159665</v>
      </c>
      <c r="F178" s="734">
        <v>1394127.05</v>
      </c>
      <c r="G178" s="734">
        <v>7598188.7400000002</v>
      </c>
      <c r="H178" s="734">
        <v>6641979.7300000004</v>
      </c>
      <c r="I178" s="408">
        <f t="shared" si="35"/>
        <v>956209.00999999978</v>
      </c>
      <c r="J178" s="408">
        <f t="shared" si="36"/>
        <v>0.14396445771748836</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13788554.93</v>
      </c>
      <c r="D186" s="612">
        <f t="shared" si="49"/>
        <v>18041702</v>
      </c>
      <c r="E186" s="612">
        <f t="shared" si="49"/>
        <v>16939922.719999999</v>
      </c>
      <c r="F186" s="612">
        <f t="shared" si="49"/>
        <v>1290287.8500000001</v>
      </c>
      <c r="G186" s="612">
        <f t="shared" si="49"/>
        <v>6291794.0100000007</v>
      </c>
      <c r="H186" s="612">
        <f t="shared" si="49"/>
        <v>5817141.2200000007</v>
      </c>
      <c r="I186" s="612">
        <f>G186-H186</f>
        <v>474652.79000000004</v>
      </c>
      <c r="J186" s="612">
        <f>IF(I186=0,"",I186/H186)</f>
        <v>8.1595541873401511E-2</v>
      </c>
      <c r="K186" s="612">
        <f>SUM(K187:K188)</f>
        <v>18041702</v>
      </c>
      <c r="L186" s="100"/>
    </row>
    <row r="187" spans="1:12" x14ac:dyDescent="0.25">
      <c r="A187" s="696" t="str">
        <f t="shared" si="44"/>
        <v>Housing</v>
      </c>
      <c r="B187" s="621"/>
      <c r="C187" s="734">
        <v>13788554.93</v>
      </c>
      <c r="D187" s="734">
        <v>18041702</v>
      </c>
      <c r="E187" s="734">
        <v>16939922.719999999</v>
      </c>
      <c r="F187" s="734">
        <v>1290287.8500000001</v>
      </c>
      <c r="G187" s="734">
        <v>6291794.0100000007</v>
      </c>
      <c r="H187" s="734">
        <v>5817141.2200000007</v>
      </c>
      <c r="I187" s="408">
        <f>G187-H187</f>
        <v>474652.79000000004</v>
      </c>
      <c r="J187" s="408">
        <f>IF(I187=0,"",I187/H187)</f>
        <v>8.1595541873401511E-2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9103661.2599999998</v>
      </c>
      <c r="D189" s="612">
        <f t="shared" si="50"/>
        <v>10544945</v>
      </c>
      <c r="E189" s="612">
        <f t="shared" si="50"/>
        <v>10170592.5</v>
      </c>
      <c r="F189" s="612">
        <f t="shared" si="50"/>
        <v>934508.69</v>
      </c>
      <c r="G189" s="612">
        <f t="shared" si="50"/>
        <v>4410852.9900000012</v>
      </c>
      <c r="H189" s="612">
        <f t="shared" si="50"/>
        <v>3806360.71</v>
      </c>
      <c r="I189" s="612">
        <f t="shared" si="35"/>
        <v>604492.28000000119</v>
      </c>
      <c r="J189" s="612">
        <f t="shared" si="36"/>
        <v>0.15881108650892972</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v>9103661.2599999998</v>
      </c>
      <c r="D191" s="734">
        <v>10544945</v>
      </c>
      <c r="E191" s="734">
        <v>10170592.5</v>
      </c>
      <c r="F191" s="734">
        <v>934508.69</v>
      </c>
      <c r="G191" s="734">
        <v>4410852.9900000012</v>
      </c>
      <c r="H191" s="734">
        <v>3806360.71</v>
      </c>
      <c r="I191" s="408">
        <f t="shared" si="35"/>
        <v>604492.28000000119</v>
      </c>
      <c r="J191" s="408">
        <f t="shared" si="36"/>
        <v>0.15881108650892972</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177698906.73999998</v>
      </c>
      <c r="D197" s="606">
        <f t="shared" si="52"/>
        <v>218271530</v>
      </c>
      <c r="E197" s="606">
        <f t="shared" si="52"/>
        <v>201708339.57999998</v>
      </c>
      <c r="F197" s="606">
        <f t="shared" si="52"/>
        <v>14923646.77</v>
      </c>
      <c r="G197" s="606">
        <f t="shared" si="52"/>
        <v>65841477.799999997</v>
      </c>
      <c r="H197" s="606">
        <f t="shared" si="52"/>
        <v>57918183.230000004</v>
      </c>
      <c r="I197" s="606">
        <f t="shared" si="35"/>
        <v>7923294.5699999928</v>
      </c>
      <c r="J197" s="606">
        <f t="shared" si="36"/>
        <v>0.13680150391692444</v>
      </c>
      <c r="K197" s="607">
        <f>K198+K209+K214</f>
        <v>218271530</v>
      </c>
      <c r="L197" s="100"/>
    </row>
    <row r="198" spans="1:12" x14ac:dyDescent="0.25">
      <c r="A198" s="608" t="str">
        <f t="shared" si="51"/>
        <v>Planning and development</v>
      </c>
      <c r="B198" s="621"/>
      <c r="C198" s="612">
        <f t="shared" ref="C198:K198" si="53">SUM(C199:C208)</f>
        <v>23180906.649999999</v>
      </c>
      <c r="D198" s="612">
        <f t="shared" si="53"/>
        <v>28129324</v>
      </c>
      <c r="E198" s="612">
        <f t="shared" si="53"/>
        <v>25937659</v>
      </c>
      <c r="F198" s="612">
        <f t="shared" si="53"/>
        <v>2155992.83</v>
      </c>
      <c r="G198" s="612">
        <f t="shared" si="53"/>
        <v>11077708.280000001</v>
      </c>
      <c r="H198" s="612">
        <f t="shared" si="53"/>
        <v>10387956.6</v>
      </c>
      <c r="I198" s="612">
        <f t="shared" si="35"/>
        <v>689751.68000000156</v>
      </c>
      <c r="J198" s="612">
        <f t="shared" si="36"/>
        <v>6.6399168437034251E-2</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v>3318642.7700000005</v>
      </c>
      <c r="D200" s="734">
        <v>3995551</v>
      </c>
      <c r="E200" s="734">
        <v>3810353</v>
      </c>
      <c r="F200" s="734">
        <v>282547.07</v>
      </c>
      <c r="G200" s="734">
        <v>1644530.15</v>
      </c>
      <c r="H200" s="734">
        <v>1338941.74</v>
      </c>
      <c r="I200" s="408">
        <f t="shared" si="35"/>
        <v>305588.40999999992</v>
      </c>
      <c r="J200" s="408">
        <f t="shared" si="36"/>
        <v>0.22823129705404502</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v>14837245.699999999</v>
      </c>
      <c r="D203" s="734">
        <v>17145651</v>
      </c>
      <c r="E203" s="734">
        <v>15743083.5</v>
      </c>
      <c r="F203" s="734">
        <v>1503894.25</v>
      </c>
      <c r="G203" s="734">
        <v>7300515.9100000001</v>
      </c>
      <c r="H203" s="734">
        <v>6772474.1099999994</v>
      </c>
      <c r="I203" s="408">
        <f>G203-H203</f>
        <v>528041.80000000075</v>
      </c>
      <c r="J203" s="408">
        <f>IF(I203=0,"",I203/H203)</f>
        <v>7.79688178091833E-2</v>
      </c>
      <c r="K203" s="736">
        <v>17145651</v>
      </c>
      <c r="L203" s="100"/>
    </row>
    <row r="204" spans="1:12" x14ac:dyDescent="0.25">
      <c r="A204" s="696" t="str">
        <f t="shared" si="51"/>
        <v>Regional Planning and Development</v>
      </c>
      <c r="B204" s="621"/>
      <c r="C204" s="734">
        <v>5025018.18</v>
      </c>
      <c r="D204" s="734">
        <v>6988122</v>
      </c>
      <c r="E204" s="734">
        <v>6384222.5</v>
      </c>
      <c r="F204" s="734">
        <v>369551.50999999995</v>
      </c>
      <c r="G204" s="734">
        <v>2132662.2199999997</v>
      </c>
      <c r="H204" s="734">
        <v>2276540.75</v>
      </c>
      <c r="I204" s="408">
        <f>G204-H204</f>
        <v>-143878.53000000026</v>
      </c>
      <c r="J204" s="408">
        <f>IF(I204=0,"",I204/H204)</f>
        <v>-6.3200507172999326E-2</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154518000.08999997</v>
      </c>
      <c r="D209" s="612">
        <f t="shared" si="54"/>
        <v>190142206</v>
      </c>
      <c r="E209" s="612">
        <f t="shared" si="54"/>
        <v>175770680.57999998</v>
      </c>
      <c r="F209" s="612">
        <f t="shared" si="54"/>
        <v>12767653.939999999</v>
      </c>
      <c r="G209" s="612">
        <f t="shared" si="54"/>
        <v>54763769.519999996</v>
      </c>
      <c r="H209" s="612">
        <f t="shared" si="54"/>
        <v>47530226.630000003</v>
      </c>
      <c r="I209" s="612">
        <f t="shared" si="35"/>
        <v>7233542.8899999931</v>
      </c>
      <c r="J209" s="612">
        <f t="shared" si="36"/>
        <v>0.15218826845303415</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v>154518000.08999997</v>
      </c>
      <c r="D212" s="734">
        <v>190142206</v>
      </c>
      <c r="E212" s="734">
        <v>175770680.57999998</v>
      </c>
      <c r="F212" s="734">
        <v>12767653.939999999</v>
      </c>
      <c r="G212" s="734">
        <v>54763769.519999996</v>
      </c>
      <c r="H212" s="734">
        <v>47530226.630000003</v>
      </c>
      <c r="I212" s="408">
        <f t="shared" si="35"/>
        <v>7233542.8899999931</v>
      </c>
      <c r="J212" s="408">
        <f t="shared" si="36"/>
        <v>0.15218826845303415</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612203714.71999991</v>
      </c>
      <c r="D221" s="606">
        <f t="shared" ref="D221:I221" si="56">D222+D226+D230+D235</f>
        <v>682668925.91999996</v>
      </c>
      <c r="E221" s="606">
        <f t="shared" si="56"/>
        <v>648743192.88</v>
      </c>
      <c r="F221" s="606">
        <f t="shared" si="56"/>
        <v>38291200.159999996</v>
      </c>
      <c r="G221" s="606">
        <f t="shared" si="56"/>
        <v>160007686.12</v>
      </c>
      <c r="H221" s="606">
        <f t="shared" si="56"/>
        <v>141347025.14000002</v>
      </c>
      <c r="I221" s="606">
        <f t="shared" si="56"/>
        <v>18660660.979999967</v>
      </c>
      <c r="J221" s="606">
        <f t="shared" si="36"/>
        <v>0.13202018904548674</v>
      </c>
      <c r="K221" s="607">
        <f>K222+K226+K230+K235</f>
        <v>682668925.91999996</v>
      </c>
      <c r="L221" s="100"/>
    </row>
    <row r="222" spans="1:12" x14ac:dyDescent="0.25">
      <c r="A222" s="608" t="str">
        <f t="shared" si="51"/>
        <v>Energy sources</v>
      </c>
      <c r="B222" s="621"/>
      <c r="C222" s="612">
        <f t="shared" ref="C222:K222" si="57">SUM(C223:C225)</f>
        <v>515290068.2899999</v>
      </c>
      <c r="D222" s="612">
        <f t="shared" si="57"/>
        <v>591014579</v>
      </c>
      <c r="E222" s="612">
        <f t="shared" si="57"/>
        <v>569099023.00999999</v>
      </c>
      <c r="F222" s="612">
        <f t="shared" si="57"/>
        <v>32425053.959999993</v>
      </c>
      <c r="G222" s="612">
        <f t="shared" si="57"/>
        <v>129891713.99999999</v>
      </c>
      <c r="H222" s="612">
        <f t="shared" si="57"/>
        <v>113847953.94000001</v>
      </c>
      <c r="I222" s="612">
        <f t="shared" si="35"/>
        <v>16043760.059999973</v>
      </c>
      <c r="J222" s="612">
        <f t="shared" si="36"/>
        <v>0.14092269122776974</v>
      </c>
      <c r="K222" s="615">
        <f t="shared" si="57"/>
        <v>591014579</v>
      </c>
      <c r="L222" s="100"/>
    </row>
    <row r="223" spans="1:12" x14ac:dyDescent="0.25">
      <c r="A223" s="696" t="str">
        <f t="shared" si="51"/>
        <v xml:space="preserve">Electricity </v>
      </c>
      <c r="B223" s="621"/>
      <c r="C223" s="734">
        <v>515290068.2899999</v>
      </c>
      <c r="D223" s="734">
        <v>591014579</v>
      </c>
      <c r="E223" s="734">
        <v>569099023.00999999</v>
      </c>
      <c r="F223" s="734">
        <v>32425053.959999993</v>
      </c>
      <c r="G223" s="734">
        <v>129891713.99999999</v>
      </c>
      <c r="H223" s="734">
        <v>113847953.94000001</v>
      </c>
      <c r="I223" s="408">
        <f t="shared" si="35"/>
        <v>16043760.059999973</v>
      </c>
      <c r="J223" s="408">
        <f t="shared" si="36"/>
        <v>0.14092269122776974</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4516272.6499999994</v>
      </c>
      <c r="D230" s="612">
        <f t="shared" si="60"/>
        <v>5765190</v>
      </c>
      <c r="E230" s="612">
        <f t="shared" si="60"/>
        <v>5017505</v>
      </c>
      <c r="F230" s="612">
        <f t="shared" si="60"/>
        <v>385928.85</v>
      </c>
      <c r="G230" s="612">
        <f t="shared" si="60"/>
        <v>1922038.48</v>
      </c>
      <c r="H230" s="612">
        <f t="shared" si="60"/>
        <v>1856359.44</v>
      </c>
      <c r="I230" s="612">
        <f t="shared" si="35"/>
        <v>65679.040000000037</v>
      </c>
      <c r="J230" s="612">
        <f t="shared" si="36"/>
        <v>3.538056185929167E-2</v>
      </c>
      <c r="K230" s="615">
        <f t="shared" si="60"/>
        <v>5765190</v>
      </c>
      <c r="L230" s="100"/>
    </row>
    <row r="231" spans="1:12" x14ac:dyDescent="0.25">
      <c r="A231" s="696" t="str">
        <f t="shared" si="58"/>
        <v>Public Toilets</v>
      </c>
      <c r="B231" s="621"/>
      <c r="C231" s="734">
        <v>4516272.6499999994</v>
      </c>
      <c r="D231" s="734">
        <v>5765190</v>
      </c>
      <c r="E231" s="734">
        <v>5017505</v>
      </c>
      <c r="F231" s="734">
        <v>385928.85</v>
      </c>
      <c r="G231" s="734">
        <v>1922038.48</v>
      </c>
      <c r="H231" s="734">
        <v>1856359.44</v>
      </c>
      <c r="I231" s="408">
        <f t="shared" si="35"/>
        <v>65679.040000000037</v>
      </c>
      <c r="J231" s="408">
        <f t="shared" si="36"/>
        <v>3.538056185929167E-2</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92397373.780000001</v>
      </c>
      <c r="D235" s="612">
        <f t="shared" si="61"/>
        <v>85889156.920000002</v>
      </c>
      <c r="E235" s="612">
        <f t="shared" si="61"/>
        <v>74626664.870000005</v>
      </c>
      <c r="F235" s="612">
        <f t="shared" si="61"/>
        <v>5480217.3500000006</v>
      </c>
      <c r="G235" s="612">
        <f t="shared" si="61"/>
        <v>28193933.640000001</v>
      </c>
      <c r="H235" s="612">
        <f t="shared" si="61"/>
        <v>25642711.760000005</v>
      </c>
      <c r="I235" s="612">
        <f t="shared" si="35"/>
        <v>2551221.8799999952</v>
      </c>
      <c r="J235" s="612">
        <f t="shared" si="36"/>
        <v>9.9491110919853618E-2</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v>67894609.459999993</v>
      </c>
      <c r="D238" s="734">
        <v>57072030.920000002</v>
      </c>
      <c r="E238" s="734">
        <v>49125598.870000005</v>
      </c>
      <c r="F238" s="734">
        <v>3348874.3000000003</v>
      </c>
      <c r="G238" s="734">
        <v>17170093.420000002</v>
      </c>
      <c r="H238" s="734">
        <v>16357485.110000003</v>
      </c>
      <c r="I238" s="408">
        <f>G238-H238</f>
        <v>812608.30999999866</v>
      </c>
      <c r="J238" s="408">
        <f>IF(I238=0,"",I238/H238)</f>
        <v>4.9678071203208239E-2</v>
      </c>
      <c r="K238" s="736">
        <v>57072030.920000002</v>
      </c>
      <c r="L238" s="100"/>
    </row>
    <row r="239" spans="1:12" x14ac:dyDescent="0.25">
      <c r="A239" s="696" t="str">
        <f t="shared" si="58"/>
        <v>Street Cleaning</v>
      </c>
      <c r="B239" s="415"/>
      <c r="C239" s="734">
        <v>24502764.32</v>
      </c>
      <c r="D239" s="734">
        <v>28817126</v>
      </c>
      <c r="E239" s="734">
        <v>25501066</v>
      </c>
      <c r="F239" s="734">
        <v>2131343.0500000003</v>
      </c>
      <c r="G239" s="734">
        <v>11023840.220000001</v>
      </c>
      <c r="H239" s="734">
        <v>9285226.6500000004</v>
      </c>
      <c r="I239" s="408">
        <f t="shared" si="35"/>
        <v>1738613.5700000003</v>
      </c>
      <c r="J239" s="408">
        <f t="shared" si="36"/>
        <v>0.18724514064500516</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1212344673.4400001</v>
      </c>
      <c r="D247" s="546">
        <f t="shared" si="63"/>
        <v>1313896978.96</v>
      </c>
      <c r="E247" s="546">
        <f t="shared" si="63"/>
        <v>1228545633.4200001</v>
      </c>
      <c r="F247" s="546">
        <f t="shared" si="63"/>
        <v>78944125.149999991</v>
      </c>
      <c r="G247" s="546">
        <f t="shared" si="63"/>
        <v>355379000.10000002</v>
      </c>
      <c r="H247" s="546">
        <f t="shared" si="63"/>
        <v>317093145.58000004</v>
      </c>
      <c r="I247" s="546">
        <f t="shared" si="63"/>
        <v>38285854.519999966</v>
      </c>
      <c r="J247" s="546">
        <f>IF(I247=0,"",I247/H247)</f>
        <v>0.12074008868898982</v>
      </c>
      <c r="K247" s="598">
        <f>K128+K148+K197+K221+K240</f>
        <v>1313896978.96</v>
      </c>
      <c r="L247" s="100"/>
    </row>
    <row r="248" spans="1:12" x14ac:dyDescent="0.25">
      <c r="A248" s="622" t="str">
        <f>result</f>
        <v>Surplus/ (Deficit) for the year</v>
      </c>
      <c r="B248" s="623"/>
      <c r="C248" s="76">
        <f t="shared" ref="C248:H248" si="64">C125-C247</f>
        <v>-76991258.870000124</v>
      </c>
      <c r="D248" s="76">
        <f t="shared" si="64"/>
        <v>45279328.039999962</v>
      </c>
      <c r="E248" s="76">
        <f t="shared" si="64"/>
        <v>124667779.8499949</v>
      </c>
      <c r="F248" s="76">
        <f t="shared" si="64"/>
        <v>30396023.450000003</v>
      </c>
      <c r="G248" s="76">
        <f t="shared" si="64"/>
        <v>253999029.63999999</v>
      </c>
      <c r="H248" s="76">
        <f t="shared" si="64"/>
        <v>230187810.49000001</v>
      </c>
      <c r="I248" s="635">
        <f>G248-H248</f>
        <v>23811219.149999976</v>
      </c>
      <c r="J248" s="635">
        <f>IF(I248=0,"",I248/H248)</f>
        <v>0.10344257195597419</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7" t="s">
        <v>1216</v>
      </c>
      <c r="B253" s="1027"/>
      <c r="C253" s="1027"/>
      <c r="D253" s="1027"/>
      <c r="E253" s="1027"/>
      <c r="F253" s="1027"/>
      <c r="G253" s="1027"/>
      <c r="H253" s="1027"/>
      <c r="I253" s="1027"/>
      <c r="J253" s="1027"/>
      <c r="K253" s="102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-0.17000007629394531</v>
      </c>
      <c r="D256" s="629">
        <f>D125-'C4-FinPerf RE'!D53</f>
        <v>0</v>
      </c>
      <c r="E256" s="629">
        <f>E125-'C4-FinPerf RE'!E53</f>
        <v>-5.0067901611328125E-6</v>
      </c>
      <c r="F256" s="629">
        <f>F125-'C4-FinPerf RE'!F53</f>
        <v>0</v>
      </c>
      <c r="G256" s="629">
        <f>G125-'C4-FinPerf RE'!G53</f>
        <v>0</v>
      </c>
      <c r="H256" s="629">
        <f>H125-'C4-FinPerf RE'!H53</f>
        <v>0</v>
      </c>
      <c r="I256" s="629">
        <f>I125-'C4-FinPerf RE'!I53</f>
        <v>62097073.669999957</v>
      </c>
      <c r="J256" s="630"/>
      <c r="K256" s="629">
        <f>K125-'C4-FinPerf RE'!K53</f>
        <v>-128</v>
      </c>
    </row>
    <row r="257" spans="1:11" x14ac:dyDescent="0.25">
      <c r="A257" s="81" t="s">
        <v>185</v>
      </c>
      <c r="B257" s="64"/>
      <c r="C257" s="629">
        <f>C247-'C4-FinPerf RE'!C36</f>
        <v>7.440000057220459</v>
      </c>
      <c r="D257" s="629">
        <f>D247-'C4-FinPerf RE'!D36</f>
        <v>0</v>
      </c>
      <c r="E257" s="629">
        <f>E247-'C4-FinPerf RE'!E36</f>
        <v>1.8000001907348633</v>
      </c>
      <c r="F257" s="629">
        <f>F247-'C4-FinPerf RE'!F36</f>
        <v>0</v>
      </c>
      <c r="G257" s="629">
        <f>G247-'C4-FinPerf RE'!G36</f>
        <v>0</v>
      </c>
      <c r="H257" s="629">
        <f>H247-'C4-FinPerf RE'!H36</f>
        <v>0</v>
      </c>
      <c r="I257" s="629">
        <f>I247-'C4-FinPerf RE'!I36</f>
        <v>-1.9371509552001953E-7</v>
      </c>
      <c r="J257" s="630"/>
      <c r="K257" s="629">
        <f>K247-'C4-FinPerf RE'!K36</f>
        <v>0</v>
      </c>
    </row>
    <row r="261" spans="1:11" x14ac:dyDescent="0.25">
      <c r="E261" s="631"/>
    </row>
  </sheetData>
  <mergeCells count="4">
    <mergeCell ref="A253:K253"/>
    <mergeCell ref="A1:K1"/>
    <mergeCell ref="A2:A3"/>
    <mergeCell ref="B2:B3"/>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4" activePane="bottomRight" state="frozen"/>
      <selection pane="topRight"/>
      <selection pane="bottomLeft"/>
      <selection pane="bottomRight" activeCell="H40" sqref="H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6" t="str">
        <f>muni&amp; " - "&amp;S71C&amp; " - "&amp;date</f>
        <v>LIM333 Greater Tzaneen - Table C3 Consolidated Monthly Budget Statement - Financial Performance (revenue and expenditure by municipal vote)  - M05 November</v>
      </c>
      <c r="B1" s="1026"/>
      <c r="C1" s="1026"/>
      <c r="D1" s="1026"/>
      <c r="E1" s="1026"/>
      <c r="F1" s="1026"/>
      <c r="G1" s="1026"/>
      <c r="H1" s="1026"/>
      <c r="I1" s="1026"/>
      <c r="J1" s="1026"/>
      <c r="K1" s="1026"/>
    </row>
    <row r="2" spans="1:24" x14ac:dyDescent="0.25">
      <c r="A2" s="20" t="str">
        <f>Vdesc</f>
        <v>Vote Description</v>
      </c>
      <c r="B2" s="1017" t="str">
        <f>head27</f>
        <v>Ref</v>
      </c>
      <c r="C2" s="142" t="str">
        <f>Head1</f>
        <v>2018/19</v>
      </c>
      <c r="D2" s="1019" t="str">
        <f>Head2</f>
        <v>Budget Year 2019/20</v>
      </c>
      <c r="E2" s="1020"/>
      <c r="F2" s="1020"/>
      <c r="G2" s="1020"/>
      <c r="H2" s="1020"/>
      <c r="I2" s="1020"/>
      <c r="J2" s="1020"/>
      <c r="K2" s="1021"/>
    </row>
    <row r="3" spans="1:24" ht="25.5" x14ac:dyDescent="0.25">
      <c r="A3" s="168"/>
      <c r="B3" s="102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9"/>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233505</v>
      </c>
      <c r="D7" s="46">
        <f>'C3C'!D17</f>
        <v>300125</v>
      </c>
      <c r="E7" s="44">
        <f>'C3C'!E17</f>
        <v>300125</v>
      </c>
      <c r="F7" s="44">
        <f>'C3C'!F17</f>
        <v>46729</v>
      </c>
      <c r="G7" s="44">
        <f>'C3C'!G17</f>
        <v>129735</v>
      </c>
      <c r="H7" s="44">
        <f>'C3C'!H17</f>
        <v>119370</v>
      </c>
      <c r="I7" s="44">
        <f t="shared" ref="I7:I20" si="0">G7-H7</f>
        <v>10365</v>
      </c>
      <c r="J7" s="716">
        <f t="shared" ref="J7:J21" si="1">IF(I7=0,"",I7/H7)</f>
        <v>8.6830862025634586E-2</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510246958.14000005</v>
      </c>
      <c r="D8" s="46">
        <f>'C3C'!D28</f>
        <v>510036650</v>
      </c>
      <c r="E8" s="44">
        <f>'C3C'!E28</f>
        <v>510036650</v>
      </c>
      <c r="F8" s="44">
        <f>'C3C'!F28</f>
        <v>12894509.950000001</v>
      </c>
      <c r="G8" s="44">
        <f>'C3C'!G28</f>
        <v>228901148.21000001</v>
      </c>
      <c r="H8" s="44">
        <f>'C3C'!H28</f>
        <v>204443266.23000002</v>
      </c>
      <c r="I8" s="44">
        <f t="shared" si="0"/>
        <v>24457881.979999989</v>
      </c>
      <c r="J8" s="716">
        <f t="shared" si="1"/>
        <v>0.11963163390514761</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747390.57</v>
      </c>
      <c r="D9" s="46">
        <f>'C3C'!D39</f>
        <v>128</v>
      </c>
      <c r="E9" s="44">
        <f>'C3C'!E39</f>
        <v>128</v>
      </c>
      <c r="F9" s="44">
        <f>'C3C'!F39</f>
        <v>0</v>
      </c>
      <c r="G9" s="44">
        <f>'C3C'!G39</f>
        <v>0</v>
      </c>
      <c r="H9" s="44">
        <f>'C3C'!H39</f>
        <v>50312.84</v>
      </c>
      <c r="I9" s="44">
        <f t="shared" si="0"/>
        <v>-50312.84</v>
      </c>
      <c r="J9" s="716">
        <f t="shared" si="1"/>
        <v>-1</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39120601.050000004</v>
      </c>
      <c r="D10" s="46">
        <f>'C3C'!D50</f>
        <v>63100559</v>
      </c>
      <c r="E10" s="44">
        <f>'C3C'!E50</f>
        <v>63100559</v>
      </c>
      <c r="F10" s="44">
        <f>'C3C'!F50</f>
        <v>5583998.5</v>
      </c>
      <c r="G10" s="44">
        <f>'C3C'!G50</f>
        <v>18487166.510000002</v>
      </c>
      <c r="H10" s="44">
        <f>'C3C'!H50</f>
        <v>16824567.629999999</v>
      </c>
      <c r="I10" s="44">
        <f t="shared" si="0"/>
        <v>1662598.8800000027</v>
      </c>
      <c r="J10" s="716">
        <f t="shared" si="1"/>
        <v>9.8819709163604982E-2</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46661510.850000001</v>
      </c>
      <c r="D11" s="46">
        <f>'C3C'!D61</f>
        <v>91682291</v>
      </c>
      <c r="E11" s="44">
        <f>'C3C'!E61</f>
        <v>91682291</v>
      </c>
      <c r="F11" s="44">
        <f>'C3C'!F61</f>
        <v>4920391.4800000004</v>
      </c>
      <c r="G11" s="44">
        <f>'C3C'!G61</f>
        <v>28796948.940000001</v>
      </c>
      <c r="H11" s="44">
        <f>'C3C'!H61</f>
        <v>26226895.800000001</v>
      </c>
      <c r="I11" s="44">
        <f t="shared" si="0"/>
        <v>2570053.1400000006</v>
      </c>
      <c r="J11" s="716">
        <f t="shared" si="1"/>
        <v>9.7993035836135833E-2</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459468534.35000002</v>
      </c>
      <c r="D12" s="46">
        <f>'C3C'!D72</f>
        <v>597331000</v>
      </c>
      <c r="E12" s="44">
        <f>'C3C'!E72</f>
        <v>597331000</v>
      </c>
      <c r="F12" s="44">
        <f>'C3C'!F72</f>
        <v>53324354.920000002</v>
      </c>
      <c r="G12" s="44">
        <f>'C3C'!G72</f>
        <v>268496688.68000001</v>
      </c>
      <c r="H12" s="44">
        <f>'C3C'!H72</f>
        <v>242881780.12</v>
      </c>
      <c r="I12" s="44">
        <f t="shared" si="0"/>
        <v>25614908.560000002</v>
      </c>
      <c r="J12" s="716">
        <f t="shared" si="1"/>
        <v>0.10546245398623358</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78874915.329999998</v>
      </c>
      <c r="D13" s="46">
        <f>'C3C'!D83</f>
        <v>96724325</v>
      </c>
      <c r="E13" s="44">
        <f>'C3C'!E83</f>
        <v>96724325</v>
      </c>
      <c r="F13" s="44">
        <f>'C3C'!F83</f>
        <v>32570164.75</v>
      </c>
      <c r="G13" s="44">
        <f>'C3C'!G83</f>
        <v>64566342.399999999</v>
      </c>
      <c r="H13" s="44">
        <f>'C3C'!H83</f>
        <v>56734763.450000003</v>
      </c>
      <c r="I13" s="44">
        <f t="shared" si="0"/>
        <v>7831578.9499999955</v>
      </c>
      <c r="J13" s="716">
        <f t="shared" si="1"/>
        <v>0.13803845250719901</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1135353415.29</v>
      </c>
      <c r="D21" s="74">
        <f t="shared" ref="D21:I21" si="2">SUM(D6:D20)</f>
        <v>1359176307</v>
      </c>
      <c r="E21" s="73">
        <f t="shared" si="2"/>
        <v>1359176307</v>
      </c>
      <c r="F21" s="73">
        <f t="shared" si="2"/>
        <v>109340148.60000001</v>
      </c>
      <c r="G21" s="73">
        <f t="shared" si="2"/>
        <v>609378029.74000001</v>
      </c>
      <c r="H21" s="73">
        <f t="shared" si="2"/>
        <v>547280956.07000005</v>
      </c>
      <c r="I21" s="73">
        <f t="shared" si="2"/>
        <v>62097073.669999994</v>
      </c>
      <c r="J21" s="717">
        <f t="shared" si="1"/>
        <v>0.11346470762643797</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73412075.829999983</v>
      </c>
      <c r="D24" s="46">
        <f>'C3C'!D174</f>
        <v>75195251</v>
      </c>
      <c r="E24" s="44">
        <f>'C3C'!E174</f>
        <v>75195251</v>
      </c>
      <c r="F24" s="44">
        <f>'C3C'!F174</f>
        <v>6490033.129999999</v>
      </c>
      <c r="G24" s="44">
        <f>'C3C'!G174</f>
        <v>34356454.590000004</v>
      </c>
      <c r="H24" s="44">
        <f>'C3C'!H174</f>
        <v>33332145.630000003</v>
      </c>
      <c r="I24" s="44">
        <f t="shared" ref="I24:I38" si="3">G24-H24</f>
        <v>1024308.9600000009</v>
      </c>
      <c r="J24" s="716">
        <f t="shared" ref="J24:J29" si="4">IF(I24=0,"",I24/H24)</f>
        <v>3.0730363756664075E-2</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30432373.350000005</v>
      </c>
      <c r="D25" s="46">
        <f>'C3C'!D185</f>
        <v>31408863</v>
      </c>
      <c r="E25" s="44">
        <f>'C3C'!E185</f>
        <v>31408863</v>
      </c>
      <c r="F25" s="44">
        <f>'C3C'!F185</f>
        <v>2391503.7599999998</v>
      </c>
      <c r="G25" s="44">
        <f>'C3C'!G185</f>
        <v>12422670.010000002</v>
      </c>
      <c r="H25" s="44">
        <f>'C3C'!H185</f>
        <v>11811288.67</v>
      </c>
      <c r="I25" s="44">
        <f t="shared" si="3"/>
        <v>611381.34000000171</v>
      </c>
      <c r="J25" s="716">
        <f t="shared" si="4"/>
        <v>5.1762458532816615E-2</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179660473.83999997</v>
      </c>
      <c r="D26" s="46">
        <f>'C3C'!D196</f>
        <v>111690531</v>
      </c>
      <c r="E26" s="44">
        <f>'C3C'!E196</f>
        <v>111690531</v>
      </c>
      <c r="F26" s="44">
        <f>'C3C'!F196</f>
        <v>5823864.9699999988</v>
      </c>
      <c r="G26" s="44">
        <f>'C3C'!G196</f>
        <v>30183676.880000003</v>
      </c>
      <c r="H26" s="44">
        <f>'C3C'!H196</f>
        <v>33078101.779999997</v>
      </c>
      <c r="I26" s="44">
        <f t="shared" si="3"/>
        <v>-2894424.8999999948</v>
      </c>
      <c r="J26" s="716">
        <f t="shared" si="4"/>
        <v>-8.7502750890924769E-2</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49685045.039999992</v>
      </c>
      <c r="D27" s="46">
        <f>'C3C'!D207</f>
        <v>63300012.329999998</v>
      </c>
      <c r="E27" s="44">
        <f>'C3C'!E207</f>
        <v>63300012.329999998</v>
      </c>
      <c r="F27" s="44">
        <f>'C3C'!F207</f>
        <v>5289034.68</v>
      </c>
      <c r="G27" s="44">
        <f>'C3C'!G207</f>
        <v>23847936.040000003</v>
      </c>
      <c r="H27" s="44">
        <f>'C3C'!H207</f>
        <v>20351110.920000002</v>
      </c>
      <c r="I27" s="44">
        <f t="shared" si="3"/>
        <v>3496825.120000001</v>
      </c>
      <c r="J27" s="716">
        <f t="shared" si="4"/>
        <v>0.17182477820232925</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138014682.60000002</v>
      </c>
      <c r="D28" s="46">
        <f>'C3C'!D218</f>
        <v>139371924.92000002</v>
      </c>
      <c r="E28" s="44">
        <f>'C3C'!E218</f>
        <v>139371924.92000002</v>
      </c>
      <c r="F28" s="44">
        <f>'C3C'!F218</f>
        <v>9407211.0700000003</v>
      </c>
      <c r="G28" s="44">
        <f>'C3C'!G218</f>
        <v>48493685.57</v>
      </c>
      <c r="H28" s="44">
        <f>'C3C'!H218</f>
        <v>44604355.5</v>
      </c>
      <c r="I28" s="44">
        <f t="shared" si="3"/>
        <v>3889330.0700000003</v>
      </c>
      <c r="J28" s="716">
        <f t="shared" si="4"/>
        <v>8.7196194775194108E-2</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53110645.079999998</v>
      </c>
      <c r="D29" s="46">
        <f>'C3C'!D229</f>
        <v>120429445</v>
      </c>
      <c r="E29" s="44">
        <f>'C3C'!E229</f>
        <v>120429445</v>
      </c>
      <c r="F29" s="44">
        <f>'C3C'!F229</f>
        <v>11092252.630000001</v>
      </c>
      <c r="G29" s="44">
        <f>'C3C'!G229</f>
        <v>46378042.07</v>
      </c>
      <c r="H29" s="44">
        <f>'C3C'!H229</f>
        <v>37566021.609999999</v>
      </c>
      <c r="I29" s="44">
        <f t="shared" si="3"/>
        <v>8812020.4600000009</v>
      </c>
      <c r="J29" s="716">
        <f t="shared" si="4"/>
        <v>0.23457422645080572</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515290068.2900002</v>
      </c>
      <c r="D30" s="46">
        <f>'C3C'!D240</f>
        <v>591014579</v>
      </c>
      <c r="E30" s="44">
        <f>'C3C'!E240</f>
        <v>591014579</v>
      </c>
      <c r="F30" s="44">
        <f>'C3C'!F240</f>
        <v>32425053.959999997</v>
      </c>
      <c r="G30" s="44">
        <f>'C3C'!G240</f>
        <v>129891713.99999997</v>
      </c>
      <c r="H30" s="44">
        <f>'C3C'!H240</f>
        <v>113847953.93999998</v>
      </c>
      <c r="I30" s="44">
        <f t="shared" si="3"/>
        <v>16043760.059999987</v>
      </c>
      <c r="J30" s="716">
        <f t="shared" ref="J30:J38" si="5">IF(I30=0,"",I30/H30)</f>
        <v>0.1409226912277699</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172739309.49000001</v>
      </c>
      <c r="D31" s="46">
        <f>'C3C'!D251</f>
        <v>181486372.71000001</v>
      </c>
      <c r="E31" s="44">
        <f>'C3C'!E251</f>
        <v>181486372.71000001</v>
      </c>
      <c r="F31" s="44">
        <f>'C3C'!F251</f>
        <v>6025170.9500000002</v>
      </c>
      <c r="G31" s="44">
        <f>'C3C'!G251</f>
        <v>29804820.939999998</v>
      </c>
      <c r="H31" s="44">
        <f>'C3C'!H251</f>
        <v>22502167.530000001</v>
      </c>
      <c r="I31" s="44">
        <f t="shared" si="3"/>
        <v>7302653.4099999964</v>
      </c>
      <c r="J31" s="716">
        <f t="shared" si="5"/>
        <v>0.32453111018145531</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1212344673.5200002</v>
      </c>
      <c r="D39" s="475">
        <f t="shared" ref="D39:I39" si="6">SUM(D24:D38)</f>
        <v>1313896978.96</v>
      </c>
      <c r="E39" s="430">
        <f t="shared" si="6"/>
        <v>1313896978.96</v>
      </c>
      <c r="F39" s="430">
        <f t="shared" si="6"/>
        <v>78944125.150000006</v>
      </c>
      <c r="G39" s="430">
        <f t="shared" si="6"/>
        <v>355379000.09999996</v>
      </c>
      <c r="H39" s="430">
        <f t="shared" si="6"/>
        <v>317093145.58000004</v>
      </c>
      <c r="I39" s="430">
        <f t="shared" si="6"/>
        <v>38285854.519999996</v>
      </c>
      <c r="J39" s="719">
        <f>IF(I39=0,"",I39/H39)</f>
        <v>0.12074008868898992</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-76991258.230000257</v>
      </c>
      <c r="D40" s="56">
        <f t="shared" si="7"/>
        <v>45279328.039999962</v>
      </c>
      <c r="E40" s="55">
        <f t="shared" si="7"/>
        <v>45279328.039999962</v>
      </c>
      <c r="F40" s="55">
        <f t="shared" si="7"/>
        <v>30396023.450000003</v>
      </c>
      <c r="G40" s="55">
        <f t="shared" si="7"/>
        <v>253999029.64000005</v>
      </c>
      <c r="H40" s="55">
        <f t="shared" si="7"/>
        <v>230187810.49000001</v>
      </c>
      <c r="I40" s="55">
        <f>I21-I39</f>
        <v>23811219.149999999</v>
      </c>
      <c r="J40" s="720">
        <f>IF(I40=0,"",I40/H40)</f>
        <v>0.10344257195597428</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36" activePane="bottomRight" state="frozen"/>
      <selection pane="topRight"/>
      <selection pane="bottomLeft"/>
      <selection pane="bottomRight" activeCell="E44" sqref="E44"/>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M05 November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233505</v>
      </c>
      <c r="D17" s="444">
        <f t="shared" ref="D17:K17" si="3">SUM(D18:D27)</f>
        <v>300125</v>
      </c>
      <c r="E17" s="441">
        <f t="shared" si="3"/>
        <v>300125</v>
      </c>
      <c r="F17" s="443">
        <f t="shared" si="3"/>
        <v>46729</v>
      </c>
      <c r="G17" s="441">
        <f t="shared" si="3"/>
        <v>129735</v>
      </c>
      <c r="H17" s="443">
        <f t="shared" si="3"/>
        <v>119370</v>
      </c>
      <c r="I17" s="44">
        <f t="shared" si="1"/>
        <v>10365</v>
      </c>
      <c r="J17" s="330">
        <f t="shared" si="2"/>
        <v>8.6830862025634586E-2</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v>100</v>
      </c>
      <c r="G19" s="742">
        <v>1360</v>
      </c>
      <c r="H19" s="743"/>
      <c r="I19" s="44">
        <f t="shared" si="1"/>
        <v>1360</v>
      </c>
      <c r="J19" s="330" t="e">
        <f t="shared" si="2"/>
        <v>#DIV/0!</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v>233505</v>
      </c>
      <c r="D20" s="741">
        <v>200000</v>
      </c>
      <c r="E20" s="741">
        <v>200000</v>
      </c>
      <c r="F20" s="743">
        <v>46629</v>
      </c>
      <c r="G20" s="742">
        <v>128375</v>
      </c>
      <c r="H20" s="743">
        <v>119370</v>
      </c>
      <c r="I20" s="44">
        <f t="shared" si="1"/>
        <v>9005</v>
      </c>
      <c r="J20" s="330">
        <f t="shared" si="2"/>
        <v>7.5437714668677228E-2</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510246958.14000005</v>
      </c>
      <c r="D28" s="444">
        <f t="shared" si="4"/>
        <v>510036650</v>
      </c>
      <c r="E28" s="441">
        <f t="shared" si="4"/>
        <v>510036650</v>
      </c>
      <c r="F28" s="443">
        <f t="shared" si="4"/>
        <v>12894509.950000001</v>
      </c>
      <c r="G28" s="441">
        <f t="shared" si="4"/>
        <v>228901148.21000001</v>
      </c>
      <c r="H28" s="443">
        <f t="shared" si="4"/>
        <v>204443266.23000002</v>
      </c>
      <c r="I28" s="44">
        <f t="shared" si="1"/>
        <v>24457881.979999989</v>
      </c>
      <c r="J28" s="330">
        <f t="shared" si="2"/>
        <v>0.11963163390514761</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v>128184872.56999999</v>
      </c>
      <c r="D29" s="741">
        <v>108745550</v>
      </c>
      <c r="E29" s="741">
        <v>108745550</v>
      </c>
      <c r="F29" s="743">
        <v>9567862.9600000009</v>
      </c>
      <c r="G29" s="742">
        <v>47569909.479999997</v>
      </c>
      <c r="H29" s="742">
        <v>45487219.609999999</v>
      </c>
      <c r="I29" s="258">
        <f t="shared" si="1"/>
        <v>2082689.8699999973</v>
      </c>
      <c r="J29" s="330">
        <f t="shared" si="2"/>
        <v>4.5786264534448146E-2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v>11760814.02</v>
      </c>
      <c r="D30" s="741">
        <v>6946000</v>
      </c>
      <c r="E30" s="741">
        <v>6946000</v>
      </c>
      <c r="F30" s="743">
        <v>181583.96</v>
      </c>
      <c r="G30" s="742">
        <v>4051352.58</v>
      </c>
      <c r="H30" s="743">
        <v>2055089</v>
      </c>
      <c r="I30" s="44">
        <f t="shared" si="1"/>
        <v>1996263.58</v>
      </c>
      <c r="J30" s="330">
        <f t="shared" si="2"/>
        <v>0.97137573117271325</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v>372502879</v>
      </c>
      <c r="D31" s="741">
        <v>391845100</v>
      </c>
      <c r="E31" s="741">
        <v>391845100</v>
      </c>
      <c r="F31" s="743">
        <v>3145063.03</v>
      </c>
      <c r="G31" s="742">
        <v>177279886.15000001</v>
      </c>
      <c r="H31" s="743">
        <v>156900957.62</v>
      </c>
      <c r="I31" s="44">
        <f t="shared" si="1"/>
        <v>20378928.530000001</v>
      </c>
      <c r="J31" s="330">
        <f t="shared" si="2"/>
        <v>0.12988402900226989</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v>-2201607.4500000002</v>
      </c>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747390.57</v>
      </c>
      <c r="D39" s="444">
        <f t="shared" si="5"/>
        <v>128</v>
      </c>
      <c r="E39" s="441">
        <f t="shared" si="5"/>
        <v>128</v>
      </c>
      <c r="F39" s="443">
        <f t="shared" si="5"/>
        <v>0</v>
      </c>
      <c r="G39" s="441">
        <f t="shared" si="5"/>
        <v>0</v>
      </c>
      <c r="H39" s="443">
        <f t="shared" si="5"/>
        <v>50312.84</v>
      </c>
      <c r="I39" s="44">
        <f t="shared" si="1"/>
        <v>-50312.84</v>
      </c>
      <c r="J39" s="330">
        <f t="shared" si="2"/>
        <v>-1</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v>110986.5</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v>50312.84</v>
      </c>
      <c r="I43" s="44">
        <f t="shared" si="1"/>
        <v>-50312.84</v>
      </c>
      <c r="J43" s="330">
        <f t="shared" si="2"/>
        <v>-1</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v>636404.06999999995</v>
      </c>
      <c r="D44" s="741"/>
      <c r="E44" s="741"/>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39120601.050000004</v>
      </c>
      <c r="D50" s="444">
        <f t="shared" ref="D50:K50" si="6">SUM(D51:D60)</f>
        <v>63100559</v>
      </c>
      <c r="E50" s="441">
        <f t="shared" si="6"/>
        <v>63100559</v>
      </c>
      <c r="F50" s="443">
        <f t="shared" si="6"/>
        <v>5583998.5</v>
      </c>
      <c r="G50" s="441">
        <f t="shared" si="6"/>
        <v>18487166.510000002</v>
      </c>
      <c r="H50" s="443">
        <f t="shared" si="6"/>
        <v>16824567.629999999</v>
      </c>
      <c r="I50" s="44">
        <f t="shared" si="1"/>
        <v>1662598.8800000027</v>
      </c>
      <c r="J50" s="330">
        <f t="shared" si="2"/>
        <v>9.8819709163604982E-2</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v>124948</v>
      </c>
      <c r="D51" s="741">
        <v>560766</v>
      </c>
      <c r="E51" s="741">
        <v>560766</v>
      </c>
      <c r="F51" s="743">
        <v>17277.41</v>
      </c>
      <c r="G51" s="742">
        <v>93103.41</v>
      </c>
      <c r="H51" s="743">
        <v>62992</v>
      </c>
      <c r="I51" s="44">
        <f t="shared" si="1"/>
        <v>30111.410000000003</v>
      </c>
      <c r="J51" s="330">
        <f t="shared" si="2"/>
        <v>0.47801958978917963</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v>212999.42</v>
      </c>
      <c r="D54" s="741">
        <v>13000</v>
      </c>
      <c r="E54" s="741">
        <v>13000</v>
      </c>
      <c r="F54" s="743">
        <v>1066.8499999999999</v>
      </c>
      <c r="G54" s="742">
        <v>5334.25</v>
      </c>
      <c r="H54" s="743">
        <v>3200.55</v>
      </c>
      <c r="I54" s="44">
        <f t="shared" si="1"/>
        <v>2133.6999999999998</v>
      </c>
      <c r="J54" s="330">
        <f t="shared" si="2"/>
        <v>0.66666666666666652</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v>37722.5</v>
      </c>
      <c r="D55" s="741">
        <v>56136</v>
      </c>
      <c r="E55" s="741">
        <v>56136</v>
      </c>
      <c r="F55" s="743">
        <v>3600</v>
      </c>
      <c r="G55" s="742">
        <v>15506</v>
      </c>
      <c r="H55" s="743">
        <v>12116.5</v>
      </c>
      <c r="I55" s="44">
        <f t="shared" si="1"/>
        <v>3389.5</v>
      </c>
      <c r="J55" s="330">
        <f t="shared" si="2"/>
        <v>0.27974249989683492</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v>38744931.130000003</v>
      </c>
      <c r="D56" s="741">
        <v>62470657</v>
      </c>
      <c r="E56" s="741">
        <v>62470657</v>
      </c>
      <c r="F56" s="743">
        <v>5562054.2400000002</v>
      </c>
      <c r="G56" s="742">
        <v>18373222.850000001</v>
      </c>
      <c r="H56" s="743">
        <v>16746258.58</v>
      </c>
      <c r="I56" s="44">
        <f t="shared" si="1"/>
        <v>1626964.2700000014</v>
      </c>
      <c r="J56" s="330">
        <f t="shared" si="2"/>
        <v>9.7153896330197567E-2</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46661510.850000001</v>
      </c>
      <c r="D61" s="444">
        <f t="shared" ref="D61:K61" si="7">SUM(D62:D71)</f>
        <v>91682291</v>
      </c>
      <c r="E61" s="441">
        <f t="shared" si="7"/>
        <v>91682291</v>
      </c>
      <c r="F61" s="443">
        <f t="shared" si="7"/>
        <v>4920391.4800000004</v>
      </c>
      <c r="G61" s="441">
        <f t="shared" si="7"/>
        <v>28796948.940000001</v>
      </c>
      <c r="H61" s="443">
        <f t="shared" si="7"/>
        <v>26226895.800000001</v>
      </c>
      <c r="I61" s="44">
        <f t="shared" si="1"/>
        <v>2570053.1400000006</v>
      </c>
      <c r="J61" s="330">
        <f t="shared" si="2"/>
        <v>9.7993035836135833E-2</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v>15025880.85</v>
      </c>
      <c r="D63" s="741">
        <v>53681291</v>
      </c>
      <c r="E63" s="741">
        <v>53681291</v>
      </c>
      <c r="F63" s="743">
        <v>4787791.4800000004</v>
      </c>
      <c r="G63" s="742">
        <v>28121578.940000001</v>
      </c>
      <c r="H63" s="743">
        <v>24685770.300000001</v>
      </c>
      <c r="I63" s="44">
        <f t="shared" si="1"/>
        <v>3435808.6400000006</v>
      </c>
      <c r="J63" s="330">
        <f t="shared" si="2"/>
        <v>0.13918174714604714</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v>31635630</v>
      </c>
      <c r="D64" s="741">
        <v>38001000</v>
      </c>
      <c r="E64" s="741">
        <v>38001000</v>
      </c>
      <c r="F64" s="743">
        <v>132600</v>
      </c>
      <c r="G64" s="742">
        <v>675370</v>
      </c>
      <c r="H64" s="743">
        <v>1541125.5</v>
      </c>
      <c r="I64" s="44">
        <f t="shared" si="1"/>
        <v>-865755.5</v>
      </c>
      <c r="J64" s="330">
        <f t="shared" si="2"/>
        <v>-0.56176833100224477</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459468534.35000002</v>
      </c>
      <c r="D72" s="444">
        <f t="shared" si="10"/>
        <v>597331000</v>
      </c>
      <c r="E72" s="441">
        <f t="shared" si="10"/>
        <v>597331000</v>
      </c>
      <c r="F72" s="443">
        <f t="shared" si="10"/>
        <v>53324354.920000002</v>
      </c>
      <c r="G72" s="441">
        <f t="shared" si="10"/>
        <v>268496688.68000001</v>
      </c>
      <c r="H72" s="443">
        <f t="shared" si="10"/>
        <v>242881780.12</v>
      </c>
      <c r="I72" s="44">
        <f t="shared" si="8"/>
        <v>25614908.560000002</v>
      </c>
      <c r="J72" s="330">
        <f t="shared" si="9"/>
        <v>0.10546245398623358</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v>25768554.690000001</v>
      </c>
      <c r="D74" s="741">
        <v>446080000</v>
      </c>
      <c r="E74" s="741">
        <v>446080000</v>
      </c>
      <c r="F74" s="743">
        <v>12305959.880000001</v>
      </c>
      <c r="G74" s="742">
        <v>45661413.119999997</v>
      </c>
      <c r="H74" s="743">
        <v>22665723.039999999</v>
      </c>
      <c r="I74" s="44">
        <f t="shared" si="8"/>
        <v>22995690.079999998</v>
      </c>
      <c r="J74" s="330">
        <f t="shared" si="9"/>
        <v>1.014557975468847</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v>433699979.66000003</v>
      </c>
      <c r="D75" s="741">
        <v>151251000</v>
      </c>
      <c r="E75" s="741">
        <v>151251000</v>
      </c>
      <c r="F75" s="743">
        <v>41018395.039999999</v>
      </c>
      <c r="G75" s="742">
        <v>222835275.56</v>
      </c>
      <c r="H75" s="743">
        <v>220216057.08000001</v>
      </c>
      <c r="I75" s="44">
        <f t="shared" si="8"/>
        <v>2619218.4799999893</v>
      </c>
      <c r="J75" s="330">
        <f t="shared" si="9"/>
        <v>1.1893857853646342E-2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78874915.329999998</v>
      </c>
      <c r="D83" s="444">
        <f t="shared" ref="D83:K83" si="11">SUM(D84:D93)</f>
        <v>96724325</v>
      </c>
      <c r="E83" s="441">
        <f t="shared" si="11"/>
        <v>96724325</v>
      </c>
      <c r="F83" s="443">
        <f t="shared" si="11"/>
        <v>32570164.75</v>
      </c>
      <c r="G83" s="441">
        <f t="shared" si="11"/>
        <v>64566342.399999999</v>
      </c>
      <c r="H83" s="443">
        <f t="shared" si="11"/>
        <v>56734763.450000003</v>
      </c>
      <c r="I83" s="44">
        <f t="shared" si="8"/>
        <v>7831578.9499999955</v>
      </c>
      <c r="J83" s="330">
        <f t="shared" si="9"/>
        <v>0.13803845250719901</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v>2724294.14</v>
      </c>
      <c r="D89" s="741">
        <v>2461225</v>
      </c>
      <c r="E89" s="742">
        <v>2461225</v>
      </c>
      <c r="F89" s="743">
        <v>88164.75</v>
      </c>
      <c r="G89" s="742">
        <v>848342.4</v>
      </c>
      <c r="H89" s="743">
        <v>1345763.45</v>
      </c>
      <c r="I89" s="44">
        <f t="shared" si="8"/>
        <v>-497421.04999999993</v>
      </c>
      <c r="J89" s="330">
        <f t="shared" si="9"/>
        <v>-0.36961997296032967</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v>76150621.189999998</v>
      </c>
      <c r="D90" s="741">
        <v>94263000</v>
      </c>
      <c r="E90" s="742">
        <v>94263000</v>
      </c>
      <c r="F90" s="743">
        <v>32482000</v>
      </c>
      <c r="G90" s="742">
        <v>63718000</v>
      </c>
      <c r="H90" s="743">
        <v>55389000</v>
      </c>
      <c r="I90" s="44">
        <f t="shared" si="8"/>
        <v>8329000</v>
      </c>
      <c r="J90" s="330">
        <f t="shared" si="9"/>
        <v>0.15037281770748703</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1135353415.29</v>
      </c>
      <c r="D171" s="451">
        <f t="shared" ref="D171:K171" si="22">D6+D17+D28+D39+D50+D61+D72+D83+D94+D105+D116+D127+D138+D149+D160</f>
        <v>1359176307</v>
      </c>
      <c r="E171" s="448">
        <f t="shared" si="22"/>
        <v>1359176307</v>
      </c>
      <c r="F171" s="450">
        <f t="shared" si="22"/>
        <v>109340148.60000001</v>
      </c>
      <c r="G171" s="448">
        <f t="shared" si="22"/>
        <v>609378029.74000001</v>
      </c>
      <c r="H171" s="450">
        <f t="shared" si="22"/>
        <v>547280956.07000005</v>
      </c>
      <c r="I171" s="514">
        <f t="shared" si="16"/>
        <v>62097073.669999957</v>
      </c>
      <c r="J171" s="515">
        <f t="shared" si="17"/>
        <v>0.1134647076264379</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73412075.829999983</v>
      </c>
      <c r="D174" s="471">
        <f t="shared" si="23"/>
        <v>75195251</v>
      </c>
      <c r="E174" s="468">
        <f t="shared" si="23"/>
        <v>75195251</v>
      </c>
      <c r="F174" s="470">
        <f t="shared" si="23"/>
        <v>6490033.129999999</v>
      </c>
      <c r="G174" s="468">
        <f t="shared" si="23"/>
        <v>34356454.590000004</v>
      </c>
      <c r="H174" s="470">
        <f t="shared" si="23"/>
        <v>33332145.630000003</v>
      </c>
      <c r="I174" s="44">
        <f t="shared" si="16"/>
        <v>1024308.9600000009</v>
      </c>
      <c r="J174" s="330">
        <f t="shared" si="17"/>
        <v>3.0730363756664075E-2</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v>3084044.56</v>
      </c>
      <c r="D175" s="746">
        <v>4114817</v>
      </c>
      <c r="E175" s="746">
        <v>4114817</v>
      </c>
      <c r="F175" s="747">
        <v>238529.41</v>
      </c>
      <c r="G175" s="734">
        <v>1133295.0099999998</v>
      </c>
      <c r="H175" s="747">
        <v>1163965.71</v>
      </c>
      <c r="I175" s="44">
        <f t="shared" si="16"/>
        <v>-30670.700000000186</v>
      </c>
      <c r="J175" s="330">
        <f t="shared" si="17"/>
        <v>-2.6350174868983198E-2</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v>4337729.540000001</v>
      </c>
      <c r="D176" s="746">
        <v>5764267</v>
      </c>
      <c r="E176" s="746">
        <v>5764267</v>
      </c>
      <c r="F176" s="747">
        <v>336933.83</v>
      </c>
      <c r="G176" s="734">
        <v>2037879.0799999998</v>
      </c>
      <c r="H176" s="747">
        <v>1839534.26</v>
      </c>
      <c r="I176" s="44">
        <f t="shared" si="16"/>
        <v>198344.81999999983</v>
      </c>
      <c r="J176" s="330">
        <f t="shared" si="17"/>
        <v>0.10782339003569297</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v>3318642.77</v>
      </c>
      <c r="D177" s="746">
        <v>3995551</v>
      </c>
      <c r="E177" s="746">
        <v>3995551</v>
      </c>
      <c r="F177" s="747">
        <v>282547.07</v>
      </c>
      <c r="G177" s="734">
        <v>1644530.15</v>
      </c>
      <c r="H177" s="747">
        <v>1338941.74</v>
      </c>
      <c r="I177" s="44">
        <f t="shared" si="16"/>
        <v>305588.40999999992</v>
      </c>
      <c r="J177" s="330">
        <f t="shared" si="17"/>
        <v>0.22823129705404502</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v>2020230.06</v>
      </c>
      <c r="D178" s="746">
        <v>2096278</v>
      </c>
      <c r="E178" s="746">
        <v>2096278</v>
      </c>
      <c r="F178" s="747">
        <v>155396.82999999999</v>
      </c>
      <c r="G178" s="734">
        <v>799189.19999999984</v>
      </c>
      <c r="H178" s="747">
        <v>770257.8</v>
      </c>
      <c r="I178" s="44">
        <f t="shared" si="16"/>
        <v>28931.39999999979</v>
      </c>
      <c r="J178" s="330">
        <f t="shared" si="17"/>
        <v>3.7560671245393154E-2</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v>22170045.859999999</v>
      </c>
      <c r="D179" s="746">
        <v>15447452</v>
      </c>
      <c r="E179" s="746">
        <v>15447452</v>
      </c>
      <c r="F179" s="747">
        <v>2462363.2899999996</v>
      </c>
      <c r="G179" s="734">
        <v>12466346.99</v>
      </c>
      <c r="H179" s="747">
        <v>13151812.26</v>
      </c>
      <c r="I179" s="44">
        <f t="shared" si="16"/>
        <v>-685465.26999999955</v>
      </c>
      <c r="J179" s="330">
        <f t="shared" si="17"/>
        <v>-5.2119453688126136E-2</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v>2086387.55</v>
      </c>
      <c r="D180" s="746">
        <v>2562316</v>
      </c>
      <c r="E180" s="746">
        <v>2562316</v>
      </c>
      <c r="F180" s="747">
        <v>191279.84999999998</v>
      </c>
      <c r="G180" s="734">
        <v>1106889.4400000002</v>
      </c>
      <c r="H180" s="747">
        <v>1179248.82</v>
      </c>
      <c r="I180" s="44">
        <f t="shared" si="16"/>
        <v>-72359.379999999888</v>
      </c>
      <c r="J180" s="330">
        <f t="shared" si="17"/>
        <v>-6.1360570197560076E-2</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v>36394995.489999995</v>
      </c>
      <c r="D181" s="746">
        <v>41214570</v>
      </c>
      <c r="E181" s="746">
        <v>41214570</v>
      </c>
      <c r="F181" s="747">
        <v>2822982.8499999996</v>
      </c>
      <c r="G181" s="747">
        <v>15168324.720000001</v>
      </c>
      <c r="H181" s="747">
        <v>13888385.040000001</v>
      </c>
      <c r="I181" s="44">
        <f t="shared" si="16"/>
        <v>1279939.6799999997</v>
      </c>
      <c r="J181" s="330">
        <f t="shared" si="17"/>
        <v>9.2159000223110146E-2</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46"/>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30432373.350000005</v>
      </c>
      <c r="D185" s="444">
        <f>SUM(D186:D195)</f>
        <v>31408863</v>
      </c>
      <c r="E185" s="441">
        <f t="shared" ref="E185:K185" si="24">SUM(E186:E195)</f>
        <v>31408863</v>
      </c>
      <c r="F185" s="443">
        <f t="shared" si="24"/>
        <v>2391503.7599999998</v>
      </c>
      <c r="G185" s="441">
        <f t="shared" si="24"/>
        <v>12422670.010000002</v>
      </c>
      <c r="H185" s="443">
        <f t="shared" si="24"/>
        <v>11811288.67</v>
      </c>
      <c r="I185" s="44">
        <f t="shared" si="16"/>
        <v>611381.34000000171</v>
      </c>
      <c r="J185" s="330">
        <f t="shared" si="17"/>
        <v>5.1762458532816615E-2</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v>2068322.4100000001</v>
      </c>
      <c r="D186" s="746">
        <v>2556956</v>
      </c>
      <c r="E186" s="746">
        <v>2556956</v>
      </c>
      <c r="F186" s="747">
        <v>156727.29</v>
      </c>
      <c r="G186" s="734">
        <v>867179.77</v>
      </c>
      <c r="H186" s="747">
        <v>766869.22000000009</v>
      </c>
      <c r="I186" s="44">
        <f t="shared" si="16"/>
        <v>100310.54999999993</v>
      </c>
      <c r="J186" s="330">
        <f t="shared" si="17"/>
        <v>0.13080528906871489</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v>12768923.289999999</v>
      </c>
      <c r="D187" s="746">
        <v>14588695</v>
      </c>
      <c r="E187" s="746">
        <v>14588695</v>
      </c>
      <c r="F187" s="747">
        <v>1347166.96</v>
      </c>
      <c r="G187" s="734">
        <v>6433336.1399999997</v>
      </c>
      <c r="H187" s="747">
        <v>6005604.8899999997</v>
      </c>
      <c r="I187" s="44">
        <f t="shared" si="16"/>
        <v>427731.25</v>
      </c>
      <c r="J187" s="330">
        <f t="shared" si="17"/>
        <v>7.1222009744966758E-2</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v>5025018.1800000006</v>
      </c>
      <c r="D188" s="746">
        <v>6988122</v>
      </c>
      <c r="E188" s="746">
        <v>6988122</v>
      </c>
      <c r="F188" s="747">
        <v>369551.50999999995</v>
      </c>
      <c r="G188" s="734">
        <v>2132662.2199999997</v>
      </c>
      <c r="H188" s="747">
        <v>2276540.75</v>
      </c>
      <c r="I188" s="44">
        <f t="shared" si="16"/>
        <v>-143878.53000000026</v>
      </c>
      <c r="J188" s="330">
        <f t="shared" si="17"/>
        <v>-6.3200507172999326E-2</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v>10550600.58</v>
      </c>
      <c r="D189" s="746">
        <v>7190800</v>
      </c>
      <c r="E189" s="746">
        <v>7190800</v>
      </c>
      <c r="F189" s="747">
        <v>516538.33999999997</v>
      </c>
      <c r="G189" s="734">
        <v>2976711.5300000012</v>
      </c>
      <c r="H189" s="747">
        <v>2758155.65</v>
      </c>
      <c r="I189" s="44">
        <f t="shared" si="16"/>
        <v>218555.88000000129</v>
      </c>
      <c r="J189" s="330">
        <f t="shared" si="17"/>
        <v>7.923986450873477E-2</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v>4403.6000000000004</v>
      </c>
      <c r="D190" s="746">
        <v>31376</v>
      </c>
      <c r="E190" s="746">
        <v>31376</v>
      </c>
      <c r="F190" s="747">
        <v>285.11</v>
      </c>
      <c r="G190" s="734">
        <v>1642.2200000000003</v>
      </c>
      <c r="H190" s="747">
        <v>266.42</v>
      </c>
      <c r="I190" s="44">
        <f t="shared" si="16"/>
        <v>1375.8000000000002</v>
      </c>
      <c r="J190" s="330">
        <f t="shared" si="17"/>
        <v>5.1640267247203671</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v>14907.259999999998</v>
      </c>
      <c r="D191" s="746">
        <v>35427</v>
      </c>
      <c r="E191" s="746">
        <v>35427</v>
      </c>
      <c r="F191" s="747">
        <v>1234.55</v>
      </c>
      <c r="G191" s="734">
        <v>11138.13</v>
      </c>
      <c r="H191" s="747">
        <v>3653.71</v>
      </c>
      <c r="I191" s="44">
        <f t="shared" si="16"/>
        <v>7484.4199999999992</v>
      </c>
      <c r="J191" s="330">
        <f t="shared" si="17"/>
        <v>2.0484439104362413</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v>198.03</v>
      </c>
      <c r="D192" s="746">
        <v>17487</v>
      </c>
      <c r="E192" s="746">
        <v>17487</v>
      </c>
      <c r="F192" s="747">
        <v>0</v>
      </c>
      <c r="G192" s="734">
        <v>0</v>
      </c>
      <c r="H192" s="747">
        <v>198.03</v>
      </c>
      <c r="I192" s="44">
        <f t="shared" si="16"/>
        <v>-198.03</v>
      </c>
      <c r="J192" s="330">
        <f t="shared" si="17"/>
        <v>-1</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179660473.83999997</v>
      </c>
      <c r="D196" s="444">
        <f t="shared" si="25"/>
        <v>111690531</v>
      </c>
      <c r="E196" s="441">
        <f t="shared" si="25"/>
        <v>111690531</v>
      </c>
      <c r="F196" s="443">
        <f t="shared" si="25"/>
        <v>5823864.9699999988</v>
      </c>
      <c r="G196" s="441">
        <f t="shared" si="25"/>
        <v>30183676.880000003</v>
      </c>
      <c r="H196" s="443">
        <f t="shared" si="25"/>
        <v>33078101.779999997</v>
      </c>
      <c r="I196" s="44">
        <f t="shared" si="16"/>
        <v>-2894424.8999999948</v>
      </c>
      <c r="J196" s="330">
        <f t="shared" si="17"/>
        <v>-8.7502750890924769E-2</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v>76515308.530000001</v>
      </c>
      <c r="D197" s="746">
        <v>40495037</v>
      </c>
      <c r="E197" s="746">
        <v>40495037</v>
      </c>
      <c r="F197" s="747">
        <v>1548007.11</v>
      </c>
      <c r="G197" s="734">
        <v>8400817.7799999993</v>
      </c>
      <c r="H197" s="747">
        <v>9768672.1499999985</v>
      </c>
      <c r="I197" s="44">
        <f t="shared" si="16"/>
        <v>-1367854.3699999992</v>
      </c>
      <c r="J197" s="330">
        <f t="shared" si="17"/>
        <v>-0.14002459587099556</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v>11317009.719999997</v>
      </c>
      <c r="D198" s="746">
        <v>15544016</v>
      </c>
      <c r="E198" s="746">
        <v>15544016</v>
      </c>
      <c r="F198" s="747">
        <v>442978.04000000004</v>
      </c>
      <c r="G198" s="734">
        <v>2007622.29</v>
      </c>
      <c r="H198" s="747">
        <v>5560866.4299999997</v>
      </c>
      <c r="I198" s="44">
        <f t="shared" ref="I198:I261" si="26">G198-H198</f>
        <v>-3553244.1399999997</v>
      </c>
      <c r="J198" s="330">
        <f t="shared" ref="J198:J261" si="27">IF(I198=0,"",I198/H198)</f>
        <v>-0.63897311412315294</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v>68747592.529999986</v>
      </c>
      <c r="D199" s="746">
        <v>36102734</v>
      </c>
      <c r="E199" s="746">
        <v>36102734</v>
      </c>
      <c r="F199" s="747">
        <v>2200485.8399999989</v>
      </c>
      <c r="G199" s="734">
        <v>10757564.41</v>
      </c>
      <c r="H199" s="747">
        <v>9459767.9100000001</v>
      </c>
      <c r="I199" s="44">
        <f t="shared" si="26"/>
        <v>1297796.5</v>
      </c>
      <c r="J199" s="330">
        <f t="shared" si="27"/>
        <v>0.13719115652172487</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v>13258426.75</v>
      </c>
      <c r="D200" s="746">
        <v>9245597</v>
      </c>
      <c r="E200" s="746">
        <v>9245597</v>
      </c>
      <c r="F200" s="747">
        <v>787252.91999999993</v>
      </c>
      <c r="G200" s="734">
        <v>4504569.8399999989</v>
      </c>
      <c r="H200" s="747">
        <v>4497546.0199999996</v>
      </c>
      <c r="I200" s="44">
        <f t="shared" si="26"/>
        <v>7023.8199999993667</v>
      </c>
      <c r="J200" s="330">
        <f t="shared" si="27"/>
        <v>1.5617005293031704E-3</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v>5631047.7999999989</v>
      </c>
      <c r="D201" s="383">
        <v>6137991</v>
      </c>
      <c r="E201" s="383">
        <v>6137991</v>
      </c>
      <c r="F201" s="472">
        <v>393496.58</v>
      </c>
      <c r="G201" s="384">
        <v>2321525.6000000006</v>
      </c>
      <c r="H201" s="472">
        <v>2114307.37</v>
      </c>
      <c r="I201" s="44">
        <f t="shared" si="26"/>
        <v>207218.23000000045</v>
      </c>
      <c r="J201" s="330">
        <f t="shared" si="27"/>
        <v>9.8007618447643413E-2</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v>4191088.5099999993</v>
      </c>
      <c r="D202" s="383">
        <v>4165156</v>
      </c>
      <c r="E202" s="383">
        <v>4165156</v>
      </c>
      <c r="F202" s="472">
        <v>451644.47999999992</v>
      </c>
      <c r="G202" s="384">
        <v>2191576.96</v>
      </c>
      <c r="H202" s="472">
        <v>1676941.9</v>
      </c>
      <c r="I202" s="44">
        <f t="shared" si="26"/>
        <v>514635.06000000006</v>
      </c>
      <c r="J202" s="330">
        <f t="shared" si="27"/>
        <v>0.30688902221359016</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3"/>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49685045.039999992</v>
      </c>
      <c r="D207" s="444">
        <f t="shared" si="28"/>
        <v>63300012.329999998</v>
      </c>
      <c r="E207" s="441">
        <f t="shared" si="28"/>
        <v>63300012.329999998</v>
      </c>
      <c r="F207" s="443">
        <f t="shared" si="28"/>
        <v>5289034.68</v>
      </c>
      <c r="G207" s="441">
        <f t="shared" si="28"/>
        <v>23847936.040000003</v>
      </c>
      <c r="H207" s="443">
        <f t="shared" si="28"/>
        <v>20351110.920000002</v>
      </c>
      <c r="I207" s="44">
        <f t="shared" si="26"/>
        <v>3496825.120000001</v>
      </c>
      <c r="J207" s="330">
        <f t="shared" si="27"/>
        <v>0.17182477820232925</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v>3887705.8499999992</v>
      </c>
      <c r="D208" s="383">
        <v>3817572</v>
      </c>
      <c r="E208" s="383">
        <v>3817572</v>
      </c>
      <c r="F208" s="472">
        <v>241437.91999999995</v>
      </c>
      <c r="G208" s="384">
        <v>1489184.5</v>
      </c>
      <c r="H208" s="472">
        <v>1604410.03</v>
      </c>
      <c r="I208" s="44">
        <f t="shared" si="26"/>
        <v>-115225.53000000003</v>
      </c>
      <c r="J208" s="330">
        <f t="shared" si="27"/>
        <v>-7.1818006522933561E-2</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v>12209472.139999999</v>
      </c>
      <c r="D209" s="383">
        <v>15236355.329999998</v>
      </c>
      <c r="E209" s="383">
        <v>15236355.329999998</v>
      </c>
      <c r="F209" s="472">
        <v>1275030.8200000003</v>
      </c>
      <c r="G209" s="384">
        <v>6458081.7700000014</v>
      </c>
      <c r="H209" s="472">
        <v>5303151.7199999988</v>
      </c>
      <c r="I209" s="44">
        <f t="shared" si="26"/>
        <v>1154930.0500000026</v>
      </c>
      <c r="J209" s="330">
        <f t="shared" si="27"/>
        <v>0.21778182314572792</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v>10598289.419999998</v>
      </c>
      <c r="D210" s="383">
        <v>17560754</v>
      </c>
      <c r="E210" s="383">
        <v>17560754</v>
      </c>
      <c r="F210" s="472">
        <v>1401058.97</v>
      </c>
      <c r="G210" s="384">
        <v>5325345.330000001</v>
      </c>
      <c r="H210" s="472">
        <v>4206034.47</v>
      </c>
      <c r="I210" s="44">
        <f t="shared" si="26"/>
        <v>1119310.8600000013</v>
      </c>
      <c r="J210" s="330">
        <f t="shared" si="27"/>
        <v>0.26612022987058431</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v>1983478.3400000003</v>
      </c>
      <c r="D211" s="383">
        <v>2838444</v>
      </c>
      <c r="E211" s="383">
        <v>2838444</v>
      </c>
      <c r="F211" s="472">
        <v>161155.24</v>
      </c>
      <c r="G211" s="384">
        <v>882923.2</v>
      </c>
      <c r="H211" s="472">
        <v>803534.25</v>
      </c>
      <c r="I211" s="44">
        <f t="shared" si="26"/>
        <v>79388.949999999953</v>
      </c>
      <c r="J211" s="330">
        <f t="shared" si="27"/>
        <v>9.8799708910976669E-2</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v>9556065.870000001</v>
      </c>
      <c r="D212" s="383">
        <v>13353482</v>
      </c>
      <c r="E212" s="383">
        <v>13353482</v>
      </c>
      <c r="F212" s="472">
        <v>1531319.8099999998</v>
      </c>
      <c r="G212" s="384">
        <v>5872635.6100000003</v>
      </c>
      <c r="H212" s="472">
        <v>4693596.05</v>
      </c>
      <c r="I212" s="44">
        <f t="shared" si="26"/>
        <v>1179039.5600000005</v>
      </c>
      <c r="J212" s="330">
        <f t="shared" si="27"/>
        <v>0.25120175393023025</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v>117658.29</v>
      </c>
      <c r="D213" s="383">
        <v>335075</v>
      </c>
      <c r="E213" s="383">
        <v>335075</v>
      </c>
      <c r="F213" s="472">
        <v>3590.92</v>
      </c>
      <c r="G213" s="384">
        <v>36565.96</v>
      </c>
      <c r="H213" s="472">
        <v>48597.900000000009</v>
      </c>
      <c r="I213" s="44">
        <f t="shared" si="26"/>
        <v>-12031.94000000001</v>
      </c>
      <c r="J213" s="330">
        <f t="shared" si="27"/>
        <v>-0.24758147985818332</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v>11332375.129999999</v>
      </c>
      <c r="D214" s="383">
        <v>10158330</v>
      </c>
      <c r="E214" s="383">
        <v>10158330</v>
      </c>
      <c r="F214" s="472">
        <v>675441.00000000023</v>
      </c>
      <c r="G214" s="384">
        <v>3783199.6700000004</v>
      </c>
      <c r="H214" s="472">
        <v>3691786.5</v>
      </c>
      <c r="I214" s="44">
        <f t="shared" si="26"/>
        <v>91413.170000000391</v>
      </c>
      <c r="J214" s="330">
        <f t="shared" si="27"/>
        <v>2.4761228743861649E-2</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138014682.60000002</v>
      </c>
      <c r="D218" s="444">
        <f t="shared" si="29"/>
        <v>139371924.92000002</v>
      </c>
      <c r="E218" s="441">
        <f t="shared" si="29"/>
        <v>139371924.92000002</v>
      </c>
      <c r="F218" s="443">
        <f t="shared" si="29"/>
        <v>9407211.0700000003</v>
      </c>
      <c r="G218" s="441">
        <f t="shared" si="29"/>
        <v>48493685.57</v>
      </c>
      <c r="H218" s="443">
        <f t="shared" si="29"/>
        <v>44604355.5</v>
      </c>
      <c r="I218" s="44">
        <f t="shared" si="26"/>
        <v>3889330.0700000003</v>
      </c>
      <c r="J218" s="330">
        <f t="shared" si="27"/>
        <v>8.7196194775194108E-2</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v>23016098.579999998</v>
      </c>
      <c r="D219" s="383">
        <v>27120105</v>
      </c>
      <c r="E219" s="383">
        <v>27120105</v>
      </c>
      <c r="F219" s="472">
        <v>1833747.55</v>
      </c>
      <c r="G219" s="384">
        <v>9944993.9700000007</v>
      </c>
      <c r="H219" s="472">
        <v>9259298.5200000014</v>
      </c>
      <c r="I219" s="44">
        <f t="shared" si="26"/>
        <v>685695.44999999925</v>
      </c>
      <c r="J219" s="330">
        <f t="shared" si="27"/>
        <v>7.4054794595822052E-2</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v>10107495.620000001</v>
      </c>
      <c r="D220" s="383">
        <v>895280</v>
      </c>
      <c r="E220" s="383">
        <v>895280</v>
      </c>
      <c r="F220" s="472">
        <v>3901.6800000000003</v>
      </c>
      <c r="G220" s="384">
        <v>18661.46</v>
      </c>
      <c r="H220" s="472">
        <v>29679.17</v>
      </c>
      <c r="I220" s="44">
        <f t="shared" si="26"/>
        <v>-11017.71</v>
      </c>
      <c r="J220" s="330">
        <f t="shared" si="27"/>
        <v>-0.3712270255536122</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v>54267.740000000005</v>
      </c>
      <c r="D221" s="383">
        <v>227762</v>
      </c>
      <c r="E221" s="383">
        <v>227762</v>
      </c>
      <c r="F221" s="472">
        <v>3101.11</v>
      </c>
      <c r="G221" s="384">
        <v>5230.8900000000003</v>
      </c>
      <c r="H221" s="472">
        <v>286.88</v>
      </c>
      <c r="I221" s="44">
        <f t="shared" si="26"/>
        <v>4944.01</v>
      </c>
      <c r="J221" s="330">
        <f t="shared" si="27"/>
        <v>17.233721416620192</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v>9049393.5200000033</v>
      </c>
      <c r="D222" s="383">
        <v>10317183</v>
      </c>
      <c r="E222" s="383">
        <v>10317183</v>
      </c>
      <c r="F222" s="472">
        <v>931407.58</v>
      </c>
      <c r="G222" s="384">
        <v>4405622.1000000006</v>
      </c>
      <c r="H222" s="472">
        <v>3806073.83</v>
      </c>
      <c r="I222" s="44">
        <f t="shared" si="26"/>
        <v>599548.27000000048</v>
      </c>
      <c r="J222" s="330">
        <f t="shared" si="27"/>
        <v>0.15752407777123978</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v>8981276.3300000019</v>
      </c>
      <c r="D223" s="383">
        <v>10052528</v>
      </c>
      <c r="E223" s="383">
        <v>10052528</v>
      </c>
      <c r="F223" s="472">
        <v>772808.63</v>
      </c>
      <c r="G223" s="384">
        <v>4021866.49</v>
      </c>
      <c r="H223" s="472">
        <v>4039625.07</v>
      </c>
      <c r="I223" s="44">
        <f t="shared" si="26"/>
        <v>-17758.579999999609</v>
      </c>
      <c r="J223" s="330">
        <f t="shared" si="27"/>
        <v>-4.3960960961160712E-3</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v>57787113.840000026</v>
      </c>
      <c r="D224" s="383">
        <v>56176750.920000002</v>
      </c>
      <c r="E224" s="383">
        <v>56176750.920000002</v>
      </c>
      <c r="F224" s="472">
        <v>3344972.62</v>
      </c>
      <c r="G224" s="384">
        <v>17151431.960000001</v>
      </c>
      <c r="H224" s="472">
        <v>16327805.940000001</v>
      </c>
      <c r="I224" s="44">
        <f t="shared" si="26"/>
        <v>823626.01999999955</v>
      </c>
      <c r="J224" s="330">
        <f t="shared" si="27"/>
        <v>5.0443153417341478E-2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v>24502764.320000004</v>
      </c>
      <c r="D225" s="383">
        <v>28817126</v>
      </c>
      <c r="E225" s="383">
        <v>28817126</v>
      </c>
      <c r="F225" s="472">
        <v>2131343.0500000003</v>
      </c>
      <c r="G225" s="384">
        <v>11023840.220000001</v>
      </c>
      <c r="H225" s="472">
        <v>9285226.6500000004</v>
      </c>
      <c r="I225" s="44">
        <f t="shared" si="26"/>
        <v>1738613.5700000003</v>
      </c>
      <c r="J225" s="330">
        <f t="shared" si="27"/>
        <v>0.18724514064500516</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v>4516272.6500000004</v>
      </c>
      <c r="D226" s="383">
        <v>5765190</v>
      </c>
      <c r="E226" s="383">
        <v>5765190</v>
      </c>
      <c r="F226" s="472">
        <v>385928.85</v>
      </c>
      <c r="G226" s="384">
        <v>1922038.48</v>
      </c>
      <c r="H226" s="472">
        <v>1856359.44</v>
      </c>
      <c r="I226" s="44">
        <f t="shared" si="26"/>
        <v>65679.040000000037</v>
      </c>
      <c r="J226" s="330">
        <f t="shared" si="27"/>
        <v>3.538056185929167E-2</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3"/>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53110645.079999998</v>
      </c>
      <c r="D229" s="444">
        <f t="shared" si="30"/>
        <v>120429445</v>
      </c>
      <c r="E229" s="441">
        <f t="shared" si="30"/>
        <v>120429445</v>
      </c>
      <c r="F229" s="443">
        <f t="shared" si="30"/>
        <v>11092252.630000001</v>
      </c>
      <c r="G229" s="441">
        <f t="shared" si="30"/>
        <v>46378042.07</v>
      </c>
      <c r="H229" s="443">
        <f t="shared" si="30"/>
        <v>37566021.609999999</v>
      </c>
      <c r="I229" s="44">
        <f t="shared" si="26"/>
        <v>8812020.4600000009</v>
      </c>
      <c r="J229" s="330">
        <f t="shared" si="27"/>
        <v>0.23457422645080572</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v>18063953.050000001</v>
      </c>
      <c r="D230" s="383">
        <v>21421667</v>
      </c>
      <c r="E230" s="383">
        <v>21421667</v>
      </c>
      <c r="F230" s="472">
        <v>2747130.56</v>
      </c>
      <c r="G230" s="384">
        <v>11321564.180000003</v>
      </c>
      <c r="H230" s="472">
        <v>6415944.4299999997</v>
      </c>
      <c r="I230" s="44">
        <f t="shared" si="26"/>
        <v>4905619.7500000037</v>
      </c>
      <c r="J230" s="330">
        <f t="shared" si="27"/>
        <v>0.7645982292274941</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v>18863645.389999997</v>
      </c>
      <c r="D231" s="383">
        <v>42981770</v>
      </c>
      <c r="E231" s="383">
        <v>42981770</v>
      </c>
      <c r="F231" s="472">
        <v>6950995.0200000005</v>
      </c>
      <c r="G231" s="384">
        <v>27458289.149999999</v>
      </c>
      <c r="H231" s="472">
        <v>24508097.449999999</v>
      </c>
      <c r="I231" s="44">
        <f t="shared" si="26"/>
        <v>2950191.6999999993</v>
      </c>
      <c r="J231" s="330">
        <f t="shared" si="27"/>
        <v>0.12037620243753354</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v>16183046.640000001</v>
      </c>
      <c r="D232" s="383">
        <v>56026008</v>
      </c>
      <c r="E232" s="383">
        <v>56026008</v>
      </c>
      <c r="F232" s="472">
        <v>1394127.05</v>
      </c>
      <c r="G232" s="384">
        <v>7598188.7400000002</v>
      </c>
      <c r="H232" s="472">
        <v>6641979.7300000004</v>
      </c>
      <c r="I232" s="44">
        <f t="shared" si="26"/>
        <v>956209.00999999978</v>
      </c>
      <c r="J232" s="330">
        <f t="shared" si="27"/>
        <v>0.14396445771748836</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515290068.2900002</v>
      </c>
      <c r="D240" s="444">
        <f t="shared" si="31"/>
        <v>591014579</v>
      </c>
      <c r="E240" s="441">
        <f t="shared" si="31"/>
        <v>591014579</v>
      </c>
      <c r="F240" s="443">
        <f t="shared" si="31"/>
        <v>32425053.959999997</v>
      </c>
      <c r="G240" s="441">
        <f t="shared" si="31"/>
        <v>129891713.99999997</v>
      </c>
      <c r="H240" s="443">
        <f t="shared" si="31"/>
        <v>113847953.93999998</v>
      </c>
      <c r="I240" s="44">
        <f t="shared" si="26"/>
        <v>16043760.059999987</v>
      </c>
      <c r="J240" s="330">
        <f t="shared" si="27"/>
        <v>0.1409226912277699</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v>48929579.410000004</v>
      </c>
      <c r="D241" s="383">
        <v>46822968</v>
      </c>
      <c r="E241" s="383">
        <v>46822968</v>
      </c>
      <c r="F241" s="472">
        <v>724329.58</v>
      </c>
      <c r="G241" s="384">
        <v>3831128.7699999996</v>
      </c>
      <c r="H241" s="472">
        <v>4423378.9399999995</v>
      </c>
      <c r="I241" s="44">
        <f t="shared" si="26"/>
        <v>-592250.16999999993</v>
      </c>
      <c r="J241" s="330">
        <f t="shared" si="27"/>
        <v>-0.13389089608497345</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v>355911627.70000017</v>
      </c>
      <c r="D242" s="383">
        <v>407096713</v>
      </c>
      <c r="E242" s="383">
        <v>407096713</v>
      </c>
      <c r="F242" s="472">
        <v>24437499.699999999</v>
      </c>
      <c r="G242" s="384">
        <v>93755621.919999972</v>
      </c>
      <c r="H242" s="472">
        <v>69417309.029999986</v>
      </c>
      <c r="I242" s="44">
        <f t="shared" si="26"/>
        <v>24338312.889999986</v>
      </c>
      <c r="J242" s="330">
        <f t="shared" si="27"/>
        <v>0.35060870595663296</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v>110448861.17999999</v>
      </c>
      <c r="D243" s="383">
        <v>137094898</v>
      </c>
      <c r="E243" s="383">
        <v>137094898</v>
      </c>
      <c r="F243" s="472">
        <v>7263224.6799999988</v>
      </c>
      <c r="G243" s="384">
        <v>32304963.309999999</v>
      </c>
      <c r="H243" s="472">
        <v>40007265.969999999</v>
      </c>
      <c r="I243" s="44">
        <f t="shared" si="26"/>
        <v>-7702302.6600000001</v>
      </c>
      <c r="J243" s="330">
        <f t="shared" si="27"/>
        <v>-0.19252259491502563</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172739309.49000001</v>
      </c>
      <c r="D251" s="444">
        <f t="shared" si="32"/>
        <v>181486372.71000001</v>
      </c>
      <c r="E251" s="441">
        <f t="shared" si="32"/>
        <v>181486372.71000001</v>
      </c>
      <c r="F251" s="443">
        <f t="shared" si="32"/>
        <v>6025170.9500000002</v>
      </c>
      <c r="G251" s="441">
        <f t="shared" si="32"/>
        <v>29804820.939999998</v>
      </c>
      <c r="H251" s="443">
        <f t="shared" si="32"/>
        <v>22502167.530000001</v>
      </c>
      <c r="I251" s="44">
        <f t="shared" si="26"/>
        <v>7302653.4099999964</v>
      </c>
      <c r="J251" s="330">
        <f t="shared" si="27"/>
        <v>0.32453111018145531</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v>4432754.4700000016</v>
      </c>
      <c r="D252" s="383">
        <v>37705901.710000001</v>
      </c>
      <c r="E252" s="383">
        <v>37705901.710000001</v>
      </c>
      <c r="F252" s="472">
        <v>1665354.7399999998</v>
      </c>
      <c r="G252" s="384">
        <v>7529110.7399999993</v>
      </c>
      <c r="H252" s="472">
        <v>78841.559999999125</v>
      </c>
      <c r="I252" s="44">
        <f t="shared" si="26"/>
        <v>7450269.1799999997</v>
      </c>
      <c r="J252" s="330">
        <f t="shared" si="27"/>
        <v>94.496724570138923</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v>78977433.169999987</v>
      </c>
      <c r="D253" s="383">
        <v>6051438</v>
      </c>
      <c r="E253" s="383">
        <v>6051438</v>
      </c>
      <c r="F253" s="472">
        <v>224249.19999999998</v>
      </c>
      <c r="G253" s="384">
        <v>1175672.2000000004</v>
      </c>
      <c r="H253" s="472">
        <v>1117863.55</v>
      </c>
      <c r="I253" s="44">
        <f t="shared" si="26"/>
        <v>57808.650000000373</v>
      </c>
      <c r="J253" s="330">
        <f t="shared" si="27"/>
        <v>5.1713511904024755E-2</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v>71810876.850000009</v>
      </c>
      <c r="D254" s="383">
        <v>114602133</v>
      </c>
      <c r="E254" s="383">
        <v>114602133</v>
      </c>
      <c r="F254" s="472">
        <v>2475723.4499999997</v>
      </c>
      <c r="G254" s="384">
        <v>12949619.829999998</v>
      </c>
      <c r="H254" s="472">
        <v>13824529.550000001</v>
      </c>
      <c r="I254" s="44">
        <f t="shared" si="26"/>
        <v>-874909.72000000253</v>
      </c>
      <c r="J254" s="330">
        <f t="shared" si="27"/>
        <v>-6.328676262260241E-2</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v>13788554.930000002</v>
      </c>
      <c r="D257" s="383">
        <v>18041702</v>
      </c>
      <c r="E257" s="383">
        <v>18041702</v>
      </c>
      <c r="F257" s="472">
        <v>1290287.8500000001</v>
      </c>
      <c r="G257" s="384">
        <v>6291794.0100000007</v>
      </c>
      <c r="H257" s="472">
        <v>5817141.2200000007</v>
      </c>
      <c r="I257" s="44">
        <f t="shared" si="26"/>
        <v>474652.79000000004</v>
      </c>
      <c r="J257" s="330">
        <f t="shared" si="27"/>
        <v>8.1595541873401511E-2</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v>3729690.0699999994</v>
      </c>
      <c r="D258" s="383">
        <v>5085198</v>
      </c>
      <c r="E258" s="383">
        <v>5085198</v>
      </c>
      <c r="F258" s="472">
        <v>369555.70999999996</v>
      </c>
      <c r="G258" s="384">
        <v>1858624.1599999997</v>
      </c>
      <c r="H258" s="472">
        <v>1663791.6500000001</v>
      </c>
      <c r="I258" s="44">
        <f t="shared" si="26"/>
        <v>194832.50999999954</v>
      </c>
      <c r="J258" s="330">
        <f t="shared" si="27"/>
        <v>0.11710150727105736</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1212344673.5200002</v>
      </c>
      <c r="D339" s="475">
        <f t="shared" si="45"/>
        <v>1313896978.96</v>
      </c>
      <c r="E339" s="430">
        <f t="shared" si="45"/>
        <v>1313896978.96</v>
      </c>
      <c r="F339" s="474">
        <f t="shared" si="45"/>
        <v>78944125.150000006</v>
      </c>
      <c r="G339" s="430">
        <f t="shared" si="45"/>
        <v>355379000.09999996</v>
      </c>
      <c r="H339" s="474">
        <f t="shared" si="45"/>
        <v>317093145.58000004</v>
      </c>
      <c r="I339" s="430">
        <f t="shared" si="41"/>
        <v>38285854.519999921</v>
      </c>
      <c r="J339" s="430">
        <f t="shared" si="42"/>
        <v>0.12074008868898968</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-76991258.230000257</v>
      </c>
      <c r="D341" s="512">
        <f t="shared" si="47"/>
        <v>45279328.039999962</v>
      </c>
      <c r="E341" s="55">
        <f t="shared" si="47"/>
        <v>45279328.039999962</v>
      </c>
      <c r="F341" s="479">
        <f t="shared" si="47"/>
        <v>30396023.450000003</v>
      </c>
      <c r="G341" s="55">
        <f t="shared" si="47"/>
        <v>253999029.64000005</v>
      </c>
      <c r="H341" s="479">
        <f t="shared" si="47"/>
        <v>230187810.49000001</v>
      </c>
      <c r="I341" s="55">
        <f t="shared" si="41"/>
        <v>23811219.150000036</v>
      </c>
      <c r="J341" s="55">
        <f t="shared" si="42"/>
        <v>0.10344257195597445</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47" activePane="bottomRight" state="frozen"/>
      <selection pane="topRight"/>
      <selection pane="bottomLeft"/>
      <selection pane="bottomRight" activeCell="H32" sqref="H3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"&amp;S71B&amp; " - "&amp;date</f>
        <v>LIM333 Greater Tzaneen - Table C4 Consolidated Monthly Budget Statement - Financial Performance (revenue and expenditure)  - M05 November</v>
      </c>
      <c r="B1" s="1035"/>
      <c r="C1" s="1035"/>
      <c r="D1" s="1035"/>
      <c r="E1" s="1035"/>
      <c r="F1" s="1035"/>
      <c r="G1" s="1035"/>
      <c r="H1" s="1035"/>
      <c r="I1" s="1035"/>
      <c r="J1" s="1035"/>
      <c r="K1" s="1035"/>
    </row>
    <row r="2" spans="1:11" x14ac:dyDescent="0.25">
      <c r="A2" s="1024" t="str">
        <f>desc</f>
        <v>Description</v>
      </c>
      <c r="B2" s="1033" t="str">
        <f>head27</f>
        <v>Ref</v>
      </c>
      <c r="C2" s="158" t="str">
        <f>Head1</f>
        <v>2018/19</v>
      </c>
      <c r="D2" s="1019" t="str">
        <f>Head2</f>
        <v>Budget Year 2019/20</v>
      </c>
      <c r="E2" s="1020"/>
      <c r="F2" s="1020"/>
      <c r="G2" s="1020"/>
      <c r="H2" s="1020"/>
      <c r="I2" s="1020"/>
      <c r="J2" s="1020"/>
      <c r="K2" s="1021"/>
    </row>
    <row r="3" spans="1:11" ht="25.5" x14ac:dyDescent="0.25">
      <c r="A3" s="1025"/>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v>119183221</v>
      </c>
      <c r="D6" s="746">
        <v>112400000</v>
      </c>
      <c r="E6" s="746">
        <v>112400000</v>
      </c>
      <c r="F6" s="734">
        <v>10607108.16</v>
      </c>
      <c r="G6" s="734">
        <v>52595786.630000003</v>
      </c>
      <c r="H6" s="734">
        <v>49319479.100000009</v>
      </c>
      <c r="I6" s="44">
        <f t="shared" ref="I6:I22" si="0">G6-H6</f>
        <v>3276307.5299999937</v>
      </c>
      <c r="J6" s="330">
        <f t="shared" ref="J6:J22" si="1">IF(I6=0,"",I6/H6)</f>
        <v>6.6430294678436558E-2</v>
      </c>
      <c r="K6" s="736">
        <v>112400000</v>
      </c>
    </row>
    <row r="7" spans="1:11" ht="11.25" customHeight="1" x14ac:dyDescent="0.25">
      <c r="A7" s="39" t="s">
        <v>845</v>
      </c>
      <c r="B7" s="419"/>
      <c r="C7" s="749">
        <v>449863850.95999998</v>
      </c>
      <c r="D7" s="746">
        <v>577331000</v>
      </c>
      <c r="E7" s="746">
        <v>570331000</v>
      </c>
      <c r="F7" s="734">
        <v>45324354.920000002</v>
      </c>
      <c r="G7" s="734">
        <v>256496688.68000001</v>
      </c>
      <c r="H7" s="734">
        <v>229881780.12</v>
      </c>
      <c r="I7" s="44">
        <f t="shared" si="0"/>
        <v>26614908.560000002</v>
      </c>
      <c r="J7" s="330">
        <f t="shared" si="1"/>
        <v>0.11577650280116511</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v>33052322</v>
      </c>
      <c r="D10" s="746">
        <v>33721657</v>
      </c>
      <c r="E10" s="746">
        <v>33721657</v>
      </c>
      <c r="F10" s="734">
        <v>2974054.24</v>
      </c>
      <c r="G10" s="734">
        <v>14299396.779999999</v>
      </c>
      <c r="H10" s="734">
        <v>14158562.91</v>
      </c>
      <c r="I10" s="44">
        <f t="shared" si="0"/>
        <v>140833.86999999918</v>
      </c>
      <c r="J10" s="330">
        <f t="shared" si="1"/>
        <v>9.9469042794258552E-3</v>
      </c>
      <c r="K10" s="736">
        <v>33721657</v>
      </c>
    </row>
    <row r="11" spans="1:11" ht="0.95" customHeight="1" x14ac:dyDescent="0.25">
      <c r="A11" s="86"/>
      <c r="B11" s="421"/>
      <c r="C11" s="649"/>
      <c r="D11" s="650"/>
      <c r="E11" s="408"/>
      <c r="F11" s="408"/>
      <c r="G11" s="408"/>
      <c r="H11" s="408"/>
      <c r="I11" s="408"/>
      <c r="J11" s="949"/>
      <c r="K11" s="643"/>
    </row>
    <row r="12" spans="1:11" ht="11.25" customHeight="1" x14ac:dyDescent="0.25">
      <c r="A12" s="86" t="s">
        <v>978</v>
      </c>
      <c r="B12" s="421"/>
      <c r="C12" s="749">
        <v>2132852.52</v>
      </c>
      <c r="D12" s="746">
        <v>1972100</v>
      </c>
      <c r="E12" s="746">
        <v>1972100</v>
      </c>
      <c r="F12" s="734">
        <v>-30774.17</v>
      </c>
      <c r="G12" s="734">
        <v>361545.38</v>
      </c>
      <c r="H12" s="734">
        <v>1026715.73</v>
      </c>
      <c r="I12" s="44">
        <f t="shared" si="0"/>
        <v>-665170.35</v>
      </c>
      <c r="J12" s="330">
        <f t="shared" si="1"/>
        <v>-0.64786223738872684</v>
      </c>
      <c r="K12" s="736">
        <v>1972100</v>
      </c>
    </row>
    <row r="13" spans="1:11" ht="11.25" customHeight="1" x14ac:dyDescent="0.25">
      <c r="A13" s="86" t="s">
        <v>850</v>
      </c>
      <c r="B13" s="421"/>
      <c r="C13" s="749">
        <v>9615814.0199999996</v>
      </c>
      <c r="D13" s="746">
        <v>4301000</v>
      </c>
      <c r="E13" s="746">
        <v>4301000</v>
      </c>
      <c r="F13" s="734">
        <v>181583.96</v>
      </c>
      <c r="G13" s="734">
        <v>1906352.58</v>
      </c>
      <c r="H13" s="734">
        <v>2055089</v>
      </c>
      <c r="I13" s="44">
        <f t="shared" si="0"/>
        <v>-148736.41999999993</v>
      </c>
      <c r="J13" s="330">
        <f t="shared" si="1"/>
        <v>-7.2374685475908793E-2</v>
      </c>
      <c r="K13" s="736">
        <v>4301000</v>
      </c>
    </row>
    <row r="14" spans="1:11" ht="11.25" customHeight="1" x14ac:dyDescent="0.25">
      <c r="A14" s="86" t="s">
        <v>851</v>
      </c>
      <c r="B14" s="421"/>
      <c r="C14" s="749">
        <v>17826053.129999999</v>
      </c>
      <c r="D14" s="746">
        <v>17000000</v>
      </c>
      <c r="E14" s="746">
        <v>17000000</v>
      </c>
      <c r="F14" s="734">
        <v>1891511.48</v>
      </c>
      <c r="G14" s="734">
        <v>10156369.35</v>
      </c>
      <c r="H14" s="734">
        <v>9352279.3000000007</v>
      </c>
      <c r="I14" s="44">
        <f t="shared" si="0"/>
        <v>804090.04999999888</v>
      </c>
      <c r="J14" s="330">
        <f t="shared" si="1"/>
        <v>8.5977976513169241E-2</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v>32189439.129999999</v>
      </c>
      <c r="D16" s="746">
        <v>38501136</v>
      </c>
      <c r="E16" s="746">
        <v>38501136</v>
      </c>
      <c r="F16" s="734">
        <v>210392.08</v>
      </c>
      <c r="G16" s="734">
        <v>899526.56</v>
      </c>
      <c r="H16" s="734">
        <v>1782054.62</v>
      </c>
      <c r="I16" s="44">
        <f t="shared" si="0"/>
        <v>-882528.06</v>
      </c>
      <c r="J16" s="330">
        <f t="shared" si="1"/>
        <v>-0.4952306456240943</v>
      </c>
      <c r="K16" s="736">
        <v>38501136</v>
      </c>
    </row>
    <row r="17" spans="1:11" ht="11.25" customHeight="1" x14ac:dyDescent="0.25">
      <c r="A17" s="86" t="s">
        <v>852</v>
      </c>
      <c r="B17" s="421"/>
      <c r="C17" s="749">
        <v>1020674.22</v>
      </c>
      <c r="D17" s="746">
        <v>817000</v>
      </c>
      <c r="E17" s="746">
        <v>817000</v>
      </c>
      <c r="F17" s="734">
        <v>178028.92</v>
      </c>
      <c r="G17" s="734">
        <v>684515.73</v>
      </c>
      <c r="H17" s="734">
        <v>515549.72</v>
      </c>
      <c r="I17" s="44">
        <f t="shared" si="0"/>
        <v>168966.01</v>
      </c>
      <c r="J17" s="330">
        <f t="shared" si="1"/>
        <v>0.32773950493077569</v>
      </c>
      <c r="K17" s="736">
        <v>817000</v>
      </c>
    </row>
    <row r="18" spans="1:11" ht="11.25" customHeight="1" x14ac:dyDescent="0.25">
      <c r="A18" s="86" t="s">
        <v>589</v>
      </c>
      <c r="B18" s="421"/>
      <c r="C18" s="749">
        <v>9254073.7599999998</v>
      </c>
      <c r="D18" s="746">
        <v>53664291</v>
      </c>
      <c r="E18" s="746">
        <v>53664291</v>
      </c>
      <c r="F18" s="734">
        <v>4785156.4800000004</v>
      </c>
      <c r="G18" s="734">
        <v>28109978.940000001</v>
      </c>
      <c r="H18" s="734">
        <v>24681199.300000001</v>
      </c>
      <c r="I18" s="44">
        <f t="shared" si="0"/>
        <v>3428779.6400000006</v>
      </c>
      <c r="J18" s="330">
        <f t="shared" si="1"/>
        <v>0.13892273217047441</v>
      </c>
      <c r="K18" s="736">
        <v>53664291</v>
      </c>
    </row>
    <row r="19" spans="1:11" ht="11.25" customHeight="1" x14ac:dyDescent="0.25">
      <c r="A19" s="518" t="s">
        <v>1127</v>
      </c>
      <c r="B19" s="421"/>
      <c r="C19" s="749">
        <v>356544299.81</v>
      </c>
      <c r="D19" s="746">
        <v>416300150</v>
      </c>
      <c r="E19" s="746">
        <v>417337256.26999998</v>
      </c>
      <c r="F19" s="734">
        <v>10588000</v>
      </c>
      <c r="G19" s="734">
        <v>178043000</v>
      </c>
      <c r="H19" s="734">
        <v>156506312.84</v>
      </c>
      <c r="I19" s="44">
        <f t="shared" si="0"/>
        <v>21536687.159999996</v>
      </c>
      <c r="J19" s="330">
        <f t="shared" si="1"/>
        <v>0.13760906361660596</v>
      </c>
      <c r="K19" s="736">
        <v>416300150</v>
      </c>
    </row>
    <row r="20" spans="1:11" ht="11.25" customHeight="1" x14ac:dyDescent="0.25">
      <c r="A20" s="86" t="s">
        <v>460</v>
      </c>
      <c r="B20" s="421"/>
      <c r="C20" s="749">
        <v>28520193</v>
      </c>
      <c r="D20" s="746">
        <v>13618123</v>
      </c>
      <c r="E20" s="746">
        <v>13618123</v>
      </c>
      <c r="F20" s="734">
        <v>148732.53</v>
      </c>
      <c r="G20" s="734">
        <v>2106869.11</v>
      </c>
      <c r="H20" s="734">
        <v>2612933.4299999997</v>
      </c>
      <c r="I20" s="44">
        <f t="shared" si="0"/>
        <v>-506064.31999999983</v>
      </c>
      <c r="J20" s="330">
        <f t="shared" si="1"/>
        <v>-0.19367669845304858</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1059202793.5500001</v>
      </c>
      <c r="D22" s="523">
        <f t="shared" si="2"/>
        <v>1269626457</v>
      </c>
      <c r="E22" s="524">
        <f t="shared" si="2"/>
        <v>1263663563.27</v>
      </c>
      <c r="F22" s="524">
        <f t="shared" si="2"/>
        <v>76858148.599999994</v>
      </c>
      <c r="G22" s="524">
        <f t="shared" si="2"/>
        <v>545660029.74000001</v>
      </c>
      <c r="H22" s="524">
        <f t="shared" si="2"/>
        <v>491891956.07000005</v>
      </c>
      <c r="I22" s="524">
        <f t="shared" si="0"/>
        <v>53768073.669999957</v>
      </c>
      <c r="J22" s="525">
        <f t="shared" si="1"/>
        <v>0.10930870693552944</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v>295232470.99999994</v>
      </c>
      <c r="D25" s="746">
        <v>357557390.95999998</v>
      </c>
      <c r="E25" s="746">
        <v>325483419.34999996</v>
      </c>
      <c r="F25" s="734">
        <v>25876784.199999992</v>
      </c>
      <c r="G25" s="734">
        <v>131396530.28000006</v>
      </c>
      <c r="H25" s="734">
        <v>123704100.04000001</v>
      </c>
      <c r="I25" s="44">
        <f t="shared" ref="I25:I36" si="3">G25-H25</f>
        <v>7692430.2400000542</v>
      </c>
      <c r="J25" s="330">
        <f t="shared" ref="J25:J41" si="4">IF(I25=0,"",I25/H25)</f>
        <v>6.2184117078679602E-2</v>
      </c>
      <c r="K25" s="736">
        <v>357557390.95999998</v>
      </c>
    </row>
    <row r="26" spans="1:11" ht="12.75" customHeight="1" x14ac:dyDescent="0.25">
      <c r="A26" s="39" t="s">
        <v>484</v>
      </c>
      <c r="B26" s="419"/>
      <c r="C26" s="749">
        <v>26136302</v>
      </c>
      <c r="D26" s="746">
        <v>28967131</v>
      </c>
      <c r="E26" s="746">
        <v>28266131</v>
      </c>
      <c r="F26" s="734">
        <v>2206205.5499999998</v>
      </c>
      <c r="G26" s="734">
        <v>11011376.039999999</v>
      </c>
      <c r="H26" s="734">
        <v>10549768.209999999</v>
      </c>
      <c r="I26" s="44">
        <f t="shared" si="3"/>
        <v>461607.83000000007</v>
      </c>
      <c r="J26" s="330">
        <f t="shared" si="4"/>
        <v>4.3755258012441213E-2</v>
      </c>
      <c r="K26" s="736">
        <v>28967131</v>
      </c>
    </row>
    <row r="27" spans="1:11" ht="12.75" customHeight="1" x14ac:dyDescent="0.25">
      <c r="A27" s="86" t="s">
        <v>620</v>
      </c>
      <c r="B27" s="421"/>
      <c r="C27" s="749">
        <v>132298457</v>
      </c>
      <c r="D27" s="746">
        <v>72600000</v>
      </c>
      <c r="E27" s="746">
        <v>53057400</v>
      </c>
      <c r="F27" s="734"/>
      <c r="G27" s="734"/>
      <c r="H27" s="734"/>
      <c r="I27" s="44">
        <f t="shared" si="3"/>
        <v>0</v>
      </c>
      <c r="J27" s="330" t="str">
        <f t="shared" si="4"/>
        <v/>
      </c>
      <c r="K27" s="736">
        <v>72600000</v>
      </c>
    </row>
    <row r="28" spans="1:11" ht="12.75" customHeight="1" x14ac:dyDescent="0.25">
      <c r="A28" s="86" t="s">
        <v>673</v>
      </c>
      <c r="B28" s="421"/>
      <c r="C28" s="749">
        <v>127724087</v>
      </c>
      <c r="D28" s="746">
        <v>134196513</v>
      </c>
      <c r="E28" s="746">
        <v>130000000</v>
      </c>
      <c r="F28" s="734"/>
      <c r="G28" s="734"/>
      <c r="H28" s="734"/>
      <c r="I28" s="44">
        <f t="shared" si="3"/>
        <v>0</v>
      </c>
      <c r="J28" s="330" t="str">
        <f t="shared" si="4"/>
        <v/>
      </c>
      <c r="K28" s="736">
        <v>134196513</v>
      </c>
    </row>
    <row r="29" spans="1:11" ht="12.75" customHeight="1" x14ac:dyDescent="0.25">
      <c r="A29" s="86" t="s">
        <v>459</v>
      </c>
      <c r="B29" s="421"/>
      <c r="C29" s="749">
        <v>11973760</v>
      </c>
      <c r="D29" s="746">
        <v>14658314</v>
      </c>
      <c r="E29" s="746">
        <v>14658314</v>
      </c>
      <c r="F29" s="734">
        <v>159400.17000000001</v>
      </c>
      <c r="G29" s="734">
        <v>4609050.4000000004</v>
      </c>
      <c r="H29" s="734">
        <v>2928583.55</v>
      </c>
      <c r="I29" s="44">
        <f t="shared" si="3"/>
        <v>1680466.8500000006</v>
      </c>
      <c r="J29" s="330">
        <f t="shared" si="4"/>
        <v>0.57381557374383285</v>
      </c>
      <c r="K29" s="736">
        <v>14658314</v>
      </c>
    </row>
    <row r="30" spans="1:11" ht="12.75" customHeight="1" x14ac:dyDescent="0.25">
      <c r="A30" s="86" t="s">
        <v>857</v>
      </c>
      <c r="B30" s="421"/>
      <c r="C30" s="749">
        <v>348443869</v>
      </c>
      <c r="D30" s="746">
        <v>403000000</v>
      </c>
      <c r="E30" s="746">
        <v>403000000</v>
      </c>
      <c r="F30" s="734">
        <v>22181115.140000001</v>
      </c>
      <c r="G30" s="734">
        <v>92660616</v>
      </c>
      <c r="H30" s="734">
        <v>80607715.849999994</v>
      </c>
      <c r="I30" s="44">
        <f t="shared" si="3"/>
        <v>12052900.150000006</v>
      </c>
      <c r="J30" s="330">
        <f t="shared" si="4"/>
        <v>0.14952539000644574</v>
      </c>
      <c r="K30" s="736">
        <v>403000000</v>
      </c>
    </row>
    <row r="31" spans="1:11" ht="12.75" customHeight="1" x14ac:dyDescent="0.25">
      <c r="A31" s="86" t="s">
        <v>935</v>
      </c>
      <c r="B31" s="421"/>
      <c r="C31" s="749">
        <v>42157906</v>
      </c>
      <c r="D31" s="746">
        <v>71608248.810000002</v>
      </c>
      <c r="E31" s="746">
        <v>54968561.810000002</v>
      </c>
      <c r="F31" s="734">
        <v>5728396.9199999999</v>
      </c>
      <c r="G31" s="734">
        <v>19007593.700000007</v>
      </c>
      <c r="H31" s="734">
        <v>13314578.690000001</v>
      </c>
      <c r="I31" s="44">
        <f t="shared" si="3"/>
        <v>5693015.0100000054</v>
      </c>
      <c r="J31" s="330">
        <f t="shared" si="4"/>
        <v>0.42757755559143457</v>
      </c>
      <c r="K31" s="736">
        <v>71608248.810000002</v>
      </c>
    </row>
    <row r="32" spans="1:11" ht="12.75" customHeight="1" x14ac:dyDescent="0.25">
      <c r="A32" s="86" t="s">
        <v>858</v>
      </c>
      <c r="B32" s="421"/>
      <c r="C32" s="749">
        <v>51435443</v>
      </c>
      <c r="D32" s="746">
        <v>74244882</v>
      </c>
      <c r="E32" s="746">
        <v>67815519</v>
      </c>
      <c r="F32" s="734">
        <v>6540854.6500000013</v>
      </c>
      <c r="G32" s="734">
        <v>26295753.869999997</v>
      </c>
      <c r="H32" s="734">
        <v>18402835.810000002</v>
      </c>
      <c r="I32" s="44">
        <f t="shared" si="3"/>
        <v>7892918.0599999949</v>
      </c>
      <c r="J32" s="330">
        <f t="shared" si="4"/>
        <v>0.42889683641643023</v>
      </c>
      <c r="K32" s="736">
        <v>74244882</v>
      </c>
    </row>
    <row r="33" spans="1:12" ht="12.75" customHeight="1" x14ac:dyDescent="0.25">
      <c r="A33" s="517" t="s">
        <v>1127</v>
      </c>
      <c r="B33" s="421"/>
      <c r="C33" s="749">
        <v>50297361</v>
      </c>
      <c r="D33" s="746">
        <v>36021812</v>
      </c>
      <c r="E33" s="746">
        <v>34666106.270000003</v>
      </c>
      <c r="F33" s="734">
        <v>2677251</v>
      </c>
      <c r="G33" s="734">
        <v>7440726.0800000001</v>
      </c>
      <c r="H33" s="734">
        <v>5316296.6499999994</v>
      </c>
      <c r="I33" s="44">
        <f t="shared" si="3"/>
        <v>2124429.4300000006</v>
      </c>
      <c r="J33" s="330">
        <f t="shared" si="4"/>
        <v>0.39960701402921162</v>
      </c>
      <c r="K33" s="736">
        <v>36021812</v>
      </c>
    </row>
    <row r="34" spans="1:12" ht="12.75" customHeight="1" x14ac:dyDescent="0.25">
      <c r="A34" s="86" t="s">
        <v>440</v>
      </c>
      <c r="B34" s="421"/>
      <c r="C34" s="749">
        <v>126645010</v>
      </c>
      <c r="D34" s="746">
        <v>121042687.19000001</v>
      </c>
      <c r="E34" s="746">
        <v>116630180.19000001</v>
      </c>
      <c r="F34" s="734">
        <v>13574117.520000007</v>
      </c>
      <c r="G34" s="734">
        <v>62957353.730000064</v>
      </c>
      <c r="H34" s="734">
        <v>62269266.779999979</v>
      </c>
      <c r="I34" s="44">
        <f t="shared" si="3"/>
        <v>688086.95000008494</v>
      </c>
      <c r="J34" s="330">
        <f t="shared" si="4"/>
        <v>1.1050185518180678E-2</v>
      </c>
      <c r="K34" s="736">
        <v>121042687.19000001</v>
      </c>
    </row>
    <row r="35" spans="1:12" ht="12.75" customHeight="1" x14ac:dyDescent="0.25">
      <c r="A35" s="39" t="s">
        <v>587</v>
      </c>
      <c r="B35" s="419"/>
      <c r="C35" s="749"/>
      <c r="D35" s="746"/>
      <c r="E35" s="734"/>
      <c r="F35" s="734"/>
      <c r="G35" s="734"/>
      <c r="H35" s="734"/>
      <c r="I35" s="44">
        <f t="shared" si="3"/>
        <v>0</v>
      </c>
      <c r="J35" s="330" t="str">
        <f t="shared" si="4"/>
        <v/>
      </c>
      <c r="K35" s="736"/>
    </row>
    <row r="36" spans="1:12" ht="12.75" customHeight="1" x14ac:dyDescent="0.25">
      <c r="A36" s="92" t="s">
        <v>495</v>
      </c>
      <c r="B36" s="422"/>
      <c r="C36" s="243">
        <f t="shared" ref="C36:K36" si="5">SUM(C25:C35)</f>
        <v>1212344666</v>
      </c>
      <c r="D36" s="74">
        <f>SUM(D25:D35)</f>
        <v>1313896978.96</v>
      </c>
      <c r="E36" s="73">
        <f>SUM(E25:E35)</f>
        <v>1228545631.6199999</v>
      </c>
      <c r="F36" s="73">
        <f t="shared" si="5"/>
        <v>78944125.150000006</v>
      </c>
      <c r="G36" s="73">
        <f t="shared" si="5"/>
        <v>355379000.10000014</v>
      </c>
      <c r="H36" s="73">
        <f t="shared" si="5"/>
        <v>317093145.57999998</v>
      </c>
      <c r="I36" s="73">
        <f t="shared" si="3"/>
        <v>38285854.52000016</v>
      </c>
      <c r="J36" s="331">
        <f t="shared" si="4"/>
        <v>0.12074008868899046</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-153141872.44999993</v>
      </c>
      <c r="D38" s="51">
        <f t="shared" si="6"/>
        <v>-44270521.960000038</v>
      </c>
      <c r="E38" s="50">
        <f t="shared" si="6"/>
        <v>35117931.650000095</v>
      </c>
      <c r="F38" s="50">
        <f t="shared" si="6"/>
        <v>-2085976.5500000119</v>
      </c>
      <c r="G38" s="50">
        <f t="shared" si="6"/>
        <v>190281029.63999987</v>
      </c>
      <c r="H38" s="50">
        <f t="shared" si="6"/>
        <v>174798810.49000007</v>
      </c>
      <c r="I38" s="102">
        <f>I22-I36</f>
        <v>15482219.149999797</v>
      </c>
      <c r="J38" s="102">
        <f t="shared" si="4"/>
        <v>8.8571650496932344E-2</v>
      </c>
      <c r="K38" s="194">
        <f>K22-K36</f>
        <v>-44270521.960000038</v>
      </c>
    </row>
    <row r="39" spans="1:12" ht="19.899999999999999" customHeight="1" x14ac:dyDescent="0.25">
      <c r="A39" s="939" t="s">
        <v>1128</v>
      </c>
      <c r="B39" s="419"/>
      <c r="C39" s="749">
        <v>76150621.189999998</v>
      </c>
      <c r="D39" s="746">
        <v>89549850</v>
      </c>
      <c r="E39" s="746">
        <v>89549850</v>
      </c>
      <c r="F39" s="734">
        <v>32482000</v>
      </c>
      <c r="G39" s="734">
        <v>63718000</v>
      </c>
      <c r="H39" s="734">
        <v>55389000</v>
      </c>
      <c r="I39" s="47">
        <f>G39-H39</f>
        <v>8329000</v>
      </c>
      <c r="J39" s="102">
        <f t="shared" si="4"/>
        <v>0.15037281770748703</v>
      </c>
      <c r="K39" s="736">
        <v>89549850</v>
      </c>
    </row>
    <row r="40" spans="1:12" ht="39.6" customHeight="1" x14ac:dyDescent="0.25">
      <c r="A40" s="939"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-76991251.259999931</v>
      </c>
      <c r="D42" s="253">
        <f t="shared" si="7"/>
        <v>45279328.039999962</v>
      </c>
      <c r="E42" s="254">
        <f t="shared" si="7"/>
        <v>124667781.6500001</v>
      </c>
      <c r="F42" s="254">
        <f t="shared" si="7"/>
        <v>30396023.449999988</v>
      </c>
      <c r="G42" s="254">
        <f t="shared" si="7"/>
        <v>253999029.63999987</v>
      </c>
      <c r="H42" s="254">
        <f t="shared" si="7"/>
        <v>230187810.49000007</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-76991251.259999931</v>
      </c>
      <c r="D44" s="51">
        <f t="shared" si="8"/>
        <v>45279328.039999962</v>
      </c>
      <c r="E44" s="50">
        <f t="shared" si="8"/>
        <v>124667781.6500001</v>
      </c>
      <c r="F44" s="50">
        <f t="shared" si="8"/>
        <v>30396023.449999988</v>
      </c>
      <c r="G44" s="50">
        <f t="shared" si="8"/>
        <v>253999029.63999987</v>
      </c>
      <c r="H44" s="50">
        <f t="shared" si="8"/>
        <v>230187810.49000007</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-76991251.259999931</v>
      </c>
      <c r="D46" s="530">
        <f t="shared" si="9"/>
        <v>45279328.039999962</v>
      </c>
      <c r="E46" s="528">
        <f t="shared" si="9"/>
        <v>124667781.6500001</v>
      </c>
      <c r="F46" s="528">
        <f t="shared" si="9"/>
        <v>30396023.449999988</v>
      </c>
      <c r="G46" s="528">
        <f t="shared" si="9"/>
        <v>253999029.63999987</v>
      </c>
      <c r="H46" s="528">
        <f t="shared" si="9"/>
        <v>230187810.49000007</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-76991251.259999931</v>
      </c>
      <c r="D48" s="77">
        <f t="shared" si="10"/>
        <v>45279328.039999962</v>
      </c>
      <c r="E48" s="76">
        <f t="shared" si="10"/>
        <v>124667781.6500001</v>
      </c>
      <c r="F48" s="76">
        <f t="shared" si="10"/>
        <v>30396023.449999988</v>
      </c>
      <c r="G48" s="76">
        <f t="shared" si="10"/>
        <v>253999029.63999987</v>
      </c>
      <c r="H48" s="76">
        <f t="shared" si="10"/>
        <v>230187810.49000007</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1135353414.74</v>
      </c>
      <c r="D53" s="62">
        <f t="shared" si="11"/>
        <v>1359176307</v>
      </c>
      <c r="E53" s="62">
        <f t="shared" si="11"/>
        <v>1353213413.27</v>
      </c>
      <c r="F53" s="62">
        <f t="shared" si="11"/>
        <v>109340148.59999999</v>
      </c>
      <c r="G53" s="62">
        <f t="shared" si="11"/>
        <v>609378029.74000001</v>
      </c>
      <c r="H53" s="62">
        <f t="shared" si="11"/>
        <v>547280956.07000005</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1" activePane="bottomRight" state="frozen"/>
      <selection pane="topRight"/>
      <selection pane="bottomLeft"/>
      <selection pane="bottomRight" activeCell="H40" sqref="H40"/>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6" t="str">
        <f>muni&amp; " - "&amp;S71D&amp; " - "&amp;date</f>
        <v>LIM333 Greater Tzaneen - Table C5 Consolidated Monthly Budget Statement - Capital Expenditure (municipal vote, functional classification and funding  - M05 November</v>
      </c>
      <c r="B1" s="1026"/>
      <c r="C1" s="1026"/>
      <c r="D1" s="1026"/>
      <c r="E1" s="1026"/>
      <c r="F1" s="1026"/>
      <c r="G1" s="1026"/>
      <c r="H1" s="1026"/>
      <c r="I1" s="1026"/>
      <c r="J1" s="1026"/>
      <c r="K1" s="1026"/>
    </row>
    <row r="2" spans="1:12" x14ac:dyDescent="0.25">
      <c r="A2" s="1024" t="str">
        <f>Vdesc</f>
        <v>Vote Description</v>
      </c>
      <c r="B2" s="1033" t="str">
        <f>head27</f>
        <v>Ref</v>
      </c>
      <c r="C2" s="139" t="str">
        <f>Head1</f>
        <v>2018/19</v>
      </c>
      <c r="D2" s="245" t="str">
        <f>Head2</f>
        <v>Budget Year 2019/20</v>
      </c>
      <c r="E2" s="229"/>
      <c r="F2" s="229"/>
      <c r="G2" s="229"/>
      <c r="H2" s="229"/>
      <c r="I2" s="229"/>
      <c r="J2" s="229"/>
      <c r="K2" s="230"/>
    </row>
    <row r="3" spans="1:12" ht="25.5" x14ac:dyDescent="0.25">
      <c r="A3" s="1025"/>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6059</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13891</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3619175.39</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7920181.2000000002</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554302.11</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36071006</v>
      </c>
      <c r="D30" s="258">
        <f>'C5C'!D242</f>
        <v>35000000</v>
      </c>
      <c r="E30" s="44">
        <f>'C5C'!E242</f>
        <v>35000000</v>
      </c>
      <c r="F30" s="44">
        <f>'C5C'!F242</f>
        <v>1153479.72</v>
      </c>
      <c r="G30" s="44">
        <f>'C5C'!G242</f>
        <v>9500123.1300000008</v>
      </c>
      <c r="H30" s="44">
        <f>'C5C'!H242</f>
        <v>5137340</v>
      </c>
      <c r="I30" s="44">
        <f>'C5C'!I242</f>
        <v>4362783.1300000008</v>
      </c>
      <c r="J30" s="330">
        <f t="shared" si="3"/>
        <v>0.84922997699198433</v>
      </c>
      <c r="K30" s="144">
        <f>'C5C'!K242</f>
        <v>35000000</v>
      </c>
      <c r="L30" s="698"/>
    </row>
    <row r="31" spans="1:12" ht="12.75" customHeight="1" x14ac:dyDescent="0.25">
      <c r="A31" s="407" t="str">
        <f>'Org structure'!A9</f>
        <v>Vote 8 - Engineering Services</v>
      </c>
      <c r="B31" s="419"/>
      <c r="C31" s="134">
        <f>'C5C'!C253</f>
        <v>55263213.810000002</v>
      </c>
      <c r="D31" s="258">
        <f>'C5C'!D253</f>
        <v>102699850</v>
      </c>
      <c r="E31" s="44">
        <f>'C5C'!E253</f>
        <v>102699850</v>
      </c>
      <c r="F31" s="44">
        <f>'C5C'!F253</f>
        <v>8761551.7400000002</v>
      </c>
      <c r="G31" s="44">
        <f>'C5C'!G253</f>
        <v>39810709.899999999</v>
      </c>
      <c r="H31" s="44">
        <f>'C5C'!H253</f>
        <v>32461000</v>
      </c>
      <c r="I31" s="44">
        <f>'C5C'!I253</f>
        <v>7349709.8999999985</v>
      </c>
      <c r="J31" s="330">
        <f t="shared" si="3"/>
        <v>0.22641661994393267</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103447828.51000001</v>
      </c>
      <c r="D39" s="262">
        <f t="shared" si="4"/>
        <v>142719850</v>
      </c>
      <c r="E39" s="161">
        <f t="shared" si="4"/>
        <v>142719850</v>
      </c>
      <c r="F39" s="161">
        <f t="shared" si="4"/>
        <v>9915031.4600000009</v>
      </c>
      <c r="G39" s="161">
        <f t="shared" si="4"/>
        <v>49310833.030000001</v>
      </c>
      <c r="H39" s="161">
        <f t="shared" si="4"/>
        <v>37598340</v>
      </c>
      <c r="I39" s="73">
        <f t="shared" si="4"/>
        <v>11712493.029999999</v>
      </c>
      <c r="J39" s="331">
        <f t="shared" si="3"/>
        <v>0.31151622731216322</v>
      </c>
      <c r="K39" s="263">
        <f>SUM(K24:K38)</f>
        <v>142719850</v>
      </c>
      <c r="L39" s="100"/>
    </row>
    <row r="40" spans="1:12" ht="12.75" customHeight="1" x14ac:dyDescent="0.25">
      <c r="A40" s="92" t="s">
        <v>772</v>
      </c>
      <c r="B40" s="422"/>
      <c r="C40" s="243">
        <f t="shared" ref="C40:I40" si="5">C39+C21</f>
        <v>103447828.51000001</v>
      </c>
      <c r="D40" s="260">
        <f t="shared" si="5"/>
        <v>142719850</v>
      </c>
      <c r="E40" s="73">
        <f t="shared" si="5"/>
        <v>142719850</v>
      </c>
      <c r="F40" s="73">
        <f t="shared" si="5"/>
        <v>9915031.4600000009</v>
      </c>
      <c r="G40" s="73">
        <f t="shared" si="5"/>
        <v>49310833.030000001</v>
      </c>
      <c r="H40" s="73">
        <f t="shared" si="5"/>
        <v>37598340</v>
      </c>
      <c r="I40" s="73">
        <f t="shared" si="5"/>
        <v>11712493.029999999</v>
      </c>
      <c r="J40" s="331">
        <f>IF(I40=0,"",I40/H40)</f>
        <v>0.31151622731216322</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11545415</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v>6059</v>
      </c>
      <c r="D44" s="754">
        <v>1900000</v>
      </c>
      <c r="E44" s="75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f>3619175+7920181</f>
        <v>11539356</v>
      </c>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1605684</v>
      </c>
      <c r="D47" s="670">
        <f t="shared" si="9"/>
        <v>5050000</v>
      </c>
      <c r="E47" s="638">
        <f t="shared" si="9"/>
        <v>5050000</v>
      </c>
      <c r="F47" s="638">
        <f t="shared" si="9"/>
        <v>125673.1</v>
      </c>
      <c r="G47" s="638">
        <f t="shared" si="9"/>
        <v>125673.1</v>
      </c>
      <c r="H47" s="638">
        <f t="shared" si="9"/>
        <v>0</v>
      </c>
      <c r="I47" s="44">
        <f t="shared" si="7"/>
        <v>125673.1</v>
      </c>
      <c r="J47" s="330" t="e">
        <f t="shared" si="8"/>
        <v>#DIV/0!</v>
      </c>
      <c r="K47" s="642">
        <f>SUM(K48:K52)</f>
        <v>5050000</v>
      </c>
      <c r="L47" s="100"/>
    </row>
    <row r="48" spans="1:12" ht="12.75" customHeight="1" x14ac:dyDescent="0.25">
      <c r="A48" s="416" t="s">
        <v>114</v>
      </c>
      <c r="B48" s="419"/>
      <c r="C48" s="736"/>
      <c r="D48" s="754"/>
      <c r="E48" s="734">
        <v>0</v>
      </c>
      <c r="F48" s="734"/>
      <c r="G48" s="734"/>
      <c r="H48" s="734"/>
      <c r="I48" s="44">
        <f t="shared" si="7"/>
        <v>0</v>
      </c>
      <c r="J48" s="330" t="str">
        <f t="shared" si="8"/>
        <v/>
      </c>
      <c r="K48" s="736"/>
      <c r="L48" s="100"/>
    </row>
    <row r="49" spans="1:12" ht="12.75" customHeight="1" x14ac:dyDescent="0.25">
      <c r="A49" s="416" t="s">
        <v>115</v>
      </c>
      <c r="B49" s="419"/>
      <c r="C49" s="736">
        <v>349001</v>
      </c>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v>1066513</v>
      </c>
      <c r="D51" s="754">
        <v>3250000</v>
      </c>
      <c r="E51" s="754">
        <v>3250000</v>
      </c>
      <c r="F51" s="734">
        <v>125673.1</v>
      </c>
      <c r="G51" s="734">
        <v>125673.1</v>
      </c>
      <c r="H51" s="734"/>
      <c r="I51" s="44">
        <f t="shared" si="7"/>
        <v>125673.1</v>
      </c>
      <c r="J51" s="330" t="e">
        <f t="shared" si="8"/>
        <v>#DIV/0!</v>
      </c>
      <c r="K51" s="736">
        <v>3250000</v>
      </c>
      <c r="L51" s="100"/>
    </row>
    <row r="52" spans="1:12" ht="12.75" customHeight="1" x14ac:dyDescent="0.25">
      <c r="A52" s="416" t="s">
        <v>619</v>
      </c>
      <c r="B52" s="419"/>
      <c r="C52" s="755">
        <v>190170</v>
      </c>
      <c r="D52" s="756"/>
      <c r="E52" s="757">
        <v>0</v>
      </c>
      <c r="F52" s="757"/>
      <c r="G52" s="757"/>
      <c r="H52" s="757"/>
      <c r="I52" s="44">
        <f t="shared" si="7"/>
        <v>0</v>
      </c>
      <c r="J52" s="330" t="str">
        <f t="shared" si="8"/>
        <v/>
      </c>
      <c r="K52" s="755"/>
      <c r="L52" s="100"/>
    </row>
    <row r="53" spans="1:12" ht="12.75" customHeight="1" x14ac:dyDescent="0.25">
      <c r="A53" s="414" t="s">
        <v>117</v>
      </c>
      <c r="B53" s="419"/>
      <c r="C53" s="642">
        <f t="shared" ref="C53:H53" si="10">SUM(C54:C56)</f>
        <v>54210592</v>
      </c>
      <c r="D53" s="670">
        <f t="shared" si="10"/>
        <v>100684850</v>
      </c>
      <c r="E53" s="638">
        <f t="shared" si="10"/>
        <v>100684850</v>
      </c>
      <c r="F53" s="638">
        <f t="shared" si="10"/>
        <v>8635878.6400000006</v>
      </c>
      <c r="G53" s="638">
        <f t="shared" si="10"/>
        <v>39685036.799999997</v>
      </c>
      <c r="H53" s="638">
        <f t="shared" si="10"/>
        <v>32461000</v>
      </c>
      <c r="I53" s="44">
        <f t="shared" si="7"/>
        <v>7224036.799999997</v>
      </c>
      <c r="J53" s="330">
        <f t="shared" si="8"/>
        <v>0.22254510951603454</v>
      </c>
      <c r="K53" s="642">
        <f>SUM(K54:K56)</f>
        <v>100684850</v>
      </c>
      <c r="L53" s="100"/>
    </row>
    <row r="54" spans="1:12" ht="12.75" customHeight="1" x14ac:dyDescent="0.25">
      <c r="A54" s="416" t="s">
        <v>118</v>
      </c>
      <c r="B54" s="419"/>
      <c r="C54" s="736">
        <v>13891</v>
      </c>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v>54196701</v>
      </c>
      <c r="D55" s="754">
        <v>99449850</v>
      </c>
      <c r="E55" s="754">
        <v>99449850</v>
      </c>
      <c r="F55" s="734">
        <v>8635878.6400000006</v>
      </c>
      <c r="G55" s="734">
        <v>39685036.799999997</v>
      </c>
      <c r="H55" s="734">
        <v>32461000</v>
      </c>
      <c r="I55" s="44">
        <f t="shared" si="7"/>
        <v>7224036.799999997</v>
      </c>
      <c r="J55" s="330">
        <f t="shared" si="8"/>
        <v>0.22254510951603454</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36086137</v>
      </c>
      <c r="D57" s="670">
        <f t="shared" si="11"/>
        <v>35085000</v>
      </c>
      <c r="E57" s="638">
        <f t="shared" si="11"/>
        <v>35085000</v>
      </c>
      <c r="F57" s="638">
        <f t="shared" si="11"/>
        <v>1153479.72</v>
      </c>
      <c r="G57" s="638">
        <f t="shared" si="11"/>
        <v>9500123.1300000008</v>
      </c>
      <c r="H57" s="638">
        <f t="shared" si="11"/>
        <v>5137340</v>
      </c>
      <c r="I57" s="44">
        <f t="shared" si="7"/>
        <v>4362783.1300000008</v>
      </c>
      <c r="J57" s="330">
        <f t="shared" si="8"/>
        <v>0.84922997699198433</v>
      </c>
      <c r="K57" s="642">
        <f>SUM(K58:K61)</f>
        <v>35085000</v>
      </c>
      <c r="L57" s="100"/>
    </row>
    <row r="58" spans="1:12" ht="12.75" customHeight="1" x14ac:dyDescent="0.25">
      <c r="A58" s="416" t="s">
        <v>1200</v>
      </c>
      <c r="B58" s="419"/>
      <c r="C58" s="736">
        <v>36071006</v>
      </c>
      <c r="D58" s="754">
        <v>35000000</v>
      </c>
      <c r="E58" s="754">
        <v>35000000</v>
      </c>
      <c r="F58" s="734">
        <v>1153479.72</v>
      </c>
      <c r="G58" s="734">
        <v>9500123.1300000008</v>
      </c>
      <c r="H58" s="734">
        <v>5137340</v>
      </c>
      <c r="I58" s="44">
        <f t="shared" si="7"/>
        <v>4362783.1300000008</v>
      </c>
      <c r="J58" s="330">
        <f t="shared" si="8"/>
        <v>0.84922997699198433</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v>15131</v>
      </c>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103447828</v>
      </c>
      <c r="D63" s="542">
        <f t="shared" ref="D63:I63" si="12">D43+D47+D53+D57+D62</f>
        <v>142719850</v>
      </c>
      <c r="E63" s="478">
        <f t="shared" si="12"/>
        <v>142719850</v>
      </c>
      <c r="F63" s="478">
        <f t="shared" si="12"/>
        <v>9915031.4600000009</v>
      </c>
      <c r="G63" s="478">
        <f t="shared" si="12"/>
        <v>49310833.030000001</v>
      </c>
      <c r="H63" s="478">
        <f t="shared" si="12"/>
        <v>37598340</v>
      </c>
      <c r="I63" s="478">
        <f t="shared" si="12"/>
        <v>11712493.029999997</v>
      </c>
      <c r="J63" s="543">
        <f t="shared" si="8"/>
        <v>0.31151622731216316</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48092431.5</v>
      </c>
      <c r="D66" s="754">
        <v>89549850</v>
      </c>
      <c r="E66" s="734">
        <v>89549850</v>
      </c>
      <c r="F66" s="734">
        <v>8486801.25</v>
      </c>
      <c r="G66" s="734">
        <v>39535959.409999996</v>
      </c>
      <c r="H66" s="734">
        <v>28461000</v>
      </c>
      <c r="I66" s="44">
        <f t="shared" ref="I66:I74" si="13">G66-H66</f>
        <v>11074959.409999996</v>
      </c>
      <c r="J66" s="330">
        <f t="shared" ref="J66:J74" si="14">IF(I66=0,"",I66/H66)</f>
        <v>0.38912755735919313</v>
      </c>
      <c r="K66" s="736">
        <v>89549850</v>
      </c>
      <c r="L66" s="100"/>
    </row>
    <row r="67" spans="1:12" ht="12.75" customHeight="1" x14ac:dyDescent="0.25">
      <c r="A67" s="107" t="s">
        <v>612</v>
      </c>
      <c r="B67" s="169"/>
      <c r="C67" s="749">
        <v>190170</v>
      </c>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v>110987</v>
      </c>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48393588.5</v>
      </c>
      <c r="D70" s="259">
        <f t="shared" si="15"/>
        <v>89549850</v>
      </c>
      <c r="E70" s="50">
        <f t="shared" si="15"/>
        <v>89549850</v>
      </c>
      <c r="F70" s="50">
        <f t="shared" si="15"/>
        <v>8486801.25</v>
      </c>
      <c r="G70" s="50">
        <f t="shared" si="15"/>
        <v>39535959.409999996</v>
      </c>
      <c r="H70" s="50">
        <f t="shared" si="15"/>
        <v>28461000</v>
      </c>
      <c r="I70" s="50">
        <f t="shared" si="13"/>
        <v>11074959.409999996</v>
      </c>
      <c r="J70" s="146">
        <f t="shared" si="14"/>
        <v>0.38912755735919313</v>
      </c>
      <c r="K70" s="50">
        <f>SUM(K66:K69)</f>
        <v>89549850</v>
      </c>
      <c r="L70" s="699"/>
    </row>
    <row r="71" spans="1:12" ht="0.95" customHeight="1" x14ac:dyDescent="0.25">
      <c r="A71" s="106"/>
      <c r="B71" s="169"/>
      <c r="C71" s="649"/>
      <c r="D71" s="671"/>
      <c r="E71" s="408"/>
      <c r="F71" s="408"/>
      <c r="G71" s="408"/>
      <c r="H71" s="408"/>
      <c r="I71" s="408"/>
      <c r="J71" s="949"/>
      <c r="K71" s="643"/>
      <c r="L71" s="100"/>
    </row>
    <row r="72" spans="1:12" ht="12.75" customHeight="1" x14ac:dyDescent="0.25">
      <c r="A72" s="106" t="s">
        <v>790</v>
      </c>
      <c r="B72" s="169">
        <v>6</v>
      </c>
      <c r="C72" s="749">
        <v>20907460</v>
      </c>
      <c r="D72" s="754">
        <v>20000000</v>
      </c>
      <c r="E72" s="754">
        <v>20000000</v>
      </c>
      <c r="F72" s="734">
        <v>197731.06</v>
      </c>
      <c r="G72" s="734">
        <v>5897483.1200000001</v>
      </c>
      <c r="H72" s="734">
        <v>5135000</v>
      </c>
      <c r="I72" s="44">
        <f t="shared" si="13"/>
        <v>762483.12000000011</v>
      </c>
      <c r="J72" s="330">
        <f t="shared" si="14"/>
        <v>0.1484874625121714</v>
      </c>
      <c r="K72" s="736">
        <v>20000000</v>
      </c>
      <c r="L72" s="100"/>
    </row>
    <row r="73" spans="1:12" ht="12.75" customHeight="1" x14ac:dyDescent="0.25">
      <c r="A73" s="106" t="s">
        <v>479</v>
      </c>
      <c r="B73" s="248"/>
      <c r="C73" s="750">
        <v>34146780</v>
      </c>
      <c r="D73" s="758">
        <v>33170000</v>
      </c>
      <c r="E73" s="758">
        <v>33170000</v>
      </c>
      <c r="F73" s="752">
        <v>1230499.1499999999</v>
      </c>
      <c r="G73" s="752">
        <v>3877390.5</v>
      </c>
      <c r="H73" s="752">
        <v>4002340</v>
      </c>
      <c r="I73" s="99">
        <f t="shared" si="13"/>
        <v>-124949.5</v>
      </c>
      <c r="J73" s="335">
        <f t="shared" si="14"/>
        <v>-3.1219111819585543E-2</v>
      </c>
      <c r="K73" s="753">
        <v>33170000</v>
      </c>
      <c r="L73" s="100"/>
    </row>
    <row r="74" spans="1:12" ht="12.75" customHeight="1" x14ac:dyDescent="0.25">
      <c r="A74" s="539" t="s">
        <v>906</v>
      </c>
      <c r="B74" s="119"/>
      <c r="C74" s="244">
        <f t="shared" ref="C74:H74" si="16">+C70+C72+C73</f>
        <v>103447828.5</v>
      </c>
      <c r="D74" s="265">
        <f t="shared" si="16"/>
        <v>142719850</v>
      </c>
      <c r="E74" s="76">
        <f t="shared" si="16"/>
        <v>142719850</v>
      </c>
      <c r="F74" s="76">
        <f t="shared" si="16"/>
        <v>9915031.4600000009</v>
      </c>
      <c r="G74" s="76">
        <f t="shared" si="16"/>
        <v>49310833.029999994</v>
      </c>
      <c r="H74" s="76">
        <f t="shared" si="16"/>
        <v>37598340</v>
      </c>
      <c r="I74" s="76">
        <f t="shared" si="13"/>
        <v>11712493.029999994</v>
      </c>
      <c r="J74" s="333">
        <f t="shared" si="14"/>
        <v>0.31151622731216311</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6" t="s">
        <v>149</v>
      </c>
      <c r="B77" s="1036"/>
      <c r="C77" s="1036"/>
      <c r="D77" s="1036"/>
      <c r="E77" s="1036"/>
      <c r="F77" s="1036"/>
      <c r="G77" s="1036"/>
      <c r="H77" s="1036"/>
      <c r="I77" s="1036"/>
      <c r="J77" s="1036"/>
      <c r="K77" s="1036"/>
    </row>
    <row r="78" spans="1:12" ht="12" customHeight="1" x14ac:dyDescent="0.25">
      <c r="A78" s="1036" t="s">
        <v>1224</v>
      </c>
      <c r="B78" s="1036"/>
      <c r="C78" s="1036"/>
      <c r="D78" s="1036"/>
      <c r="E78" s="1036"/>
      <c r="F78" s="1036"/>
      <c r="G78" s="1036"/>
      <c r="H78" s="1036"/>
      <c r="I78" s="1036"/>
      <c r="J78" s="1036"/>
      <c r="K78" s="1036"/>
    </row>
    <row r="79" spans="1:12" ht="12" customHeight="1" x14ac:dyDescent="0.25">
      <c r="A79" s="1037" t="s">
        <v>531</v>
      </c>
      <c r="B79" s="1036"/>
      <c r="C79" s="1036"/>
      <c r="D79" s="1036"/>
      <c r="E79" s="1036"/>
      <c r="F79" s="1036"/>
      <c r="G79" s="1036"/>
      <c r="H79" s="1036"/>
      <c r="I79" s="1036"/>
      <c r="J79" s="1036"/>
      <c r="K79" s="1036"/>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1.000000536441803E-2</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31" activePane="bottomRight" state="frozen"/>
      <selection pane="topRight"/>
      <selection pane="bottomLeft"/>
      <selection pane="bottomRight" activeCell="H244" sqref="H244:H245"/>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6" t="str">
        <f>muni&amp; " - "&amp;S71D&amp; " - "&amp;"A"&amp; " - "&amp;date</f>
        <v>LIM333 Greater Tzaneen - Table C5 Consolidated Monthly Budget Statement - Capital Expenditure (municipal vote, functional classification and funding  - A - M05 November</v>
      </c>
      <c r="B1" s="1026"/>
      <c r="C1" s="1026"/>
      <c r="D1" s="1026"/>
      <c r="E1" s="1026"/>
      <c r="F1" s="1026"/>
      <c r="G1" s="1026"/>
      <c r="H1" s="1026"/>
      <c r="I1" s="1026"/>
      <c r="J1" s="1026"/>
      <c r="K1" s="1026"/>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6059</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v>6059</v>
      </c>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13891</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v>13891</v>
      </c>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3619175.39</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f>92099+84614.39+1485547</f>
        <v>1662260.3900000001</v>
      </c>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v>1956915</v>
      </c>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7920181.2000000002</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f>153319+7595576+29366.2+103622</f>
        <v>7881883.2000000002</v>
      </c>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v>38298</v>
      </c>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554302.11</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v>345882.61</v>
      </c>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f>7366+7828</f>
        <v>15194</v>
      </c>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v>193225.5</v>
      </c>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36071006</v>
      </c>
      <c r="D242" s="444">
        <f t="shared" si="31"/>
        <v>35000000</v>
      </c>
      <c r="E242" s="441">
        <f t="shared" si="31"/>
        <v>35000000</v>
      </c>
      <c r="F242" s="443">
        <f t="shared" si="31"/>
        <v>1153479.72</v>
      </c>
      <c r="G242" s="441">
        <f t="shared" si="31"/>
        <v>9500123.1300000008</v>
      </c>
      <c r="H242" s="443">
        <f t="shared" si="31"/>
        <v>5137340</v>
      </c>
      <c r="I242" s="44">
        <f t="shared" si="26"/>
        <v>4362783.1300000008</v>
      </c>
      <c r="J242" s="330">
        <f t="shared" si="27"/>
        <v>0.84922997699198433</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v>32316403</v>
      </c>
      <c r="D244" s="383">
        <v>7500000</v>
      </c>
      <c r="E244" s="383">
        <v>7500000</v>
      </c>
      <c r="F244" s="472">
        <v>828741.89</v>
      </c>
      <c r="G244" s="384">
        <v>2332823.27</v>
      </c>
      <c r="H244" s="472">
        <v>2168000</v>
      </c>
      <c r="I244" s="44">
        <f t="shared" si="26"/>
        <v>164823.27000000002</v>
      </c>
      <c r="J244" s="330">
        <f t="shared" si="27"/>
        <v>7.6025493542435429E-2</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v>3754603</v>
      </c>
      <c r="D245" s="383">
        <v>27500000</v>
      </c>
      <c r="E245" s="383">
        <v>27500000</v>
      </c>
      <c r="F245" s="472">
        <v>324737.83</v>
      </c>
      <c r="G245" s="384">
        <v>7167299.8600000003</v>
      </c>
      <c r="H245" s="472">
        <v>2969340</v>
      </c>
      <c r="I245" s="44">
        <f t="shared" si="26"/>
        <v>4197959.8600000003</v>
      </c>
      <c r="J245" s="330">
        <f t="shared" si="27"/>
        <v>1.4137686691318612</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55263213.810000002</v>
      </c>
      <c r="D253" s="444">
        <f t="shared" si="32"/>
        <v>102699850</v>
      </c>
      <c r="E253" s="441">
        <f t="shared" si="32"/>
        <v>102699850</v>
      </c>
      <c r="F253" s="443">
        <f t="shared" si="32"/>
        <v>8761551.7400000002</v>
      </c>
      <c r="G253" s="441">
        <f t="shared" si="32"/>
        <v>39810709.899999999</v>
      </c>
      <c r="H253" s="443">
        <f t="shared" si="32"/>
        <v>32461000</v>
      </c>
      <c r="I253" s="44">
        <f t="shared" si="26"/>
        <v>7349709.8999999985</v>
      </c>
      <c r="J253" s="330">
        <f t="shared" si="27"/>
        <v>0.22641661994393267</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v>4605566</v>
      </c>
      <c r="D256" s="383">
        <v>9900000</v>
      </c>
      <c r="E256" s="383">
        <v>9900000</v>
      </c>
      <c r="F256" s="472">
        <v>149077.39000000001</v>
      </c>
      <c r="G256" s="384">
        <v>149077.39000000001</v>
      </c>
      <c r="H256" s="472">
        <v>3879000</v>
      </c>
      <c r="I256" s="44">
        <f t="shared" si="26"/>
        <v>-3729922.61</v>
      </c>
      <c r="J256" s="330">
        <f t="shared" si="27"/>
        <v>-0.96156808713585973</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3"/>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3"/>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v>1057150.81</v>
      </c>
      <c r="D259" s="383">
        <v>3250000</v>
      </c>
      <c r="E259" s="383">
        <v>3250000</v>
      </c>
      <c r="F259" s="472">
        <v>125673.1</v>
      </c>
      <c r="G259" s="384">
        <v>125673.1</v>
      </c>
      <c r="H259" s="472"/>
      <c r="I259" s="44">
        <f t="shared" si="26"/>
        <v>125673.1</v>
      </c>
      <c r="J259" s="330" t="e">
        <f t="shared" si="27"/>
        <v>#DIV/0!</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f>76150621-27014727+464603</f>
        <v>49600497</v>
      </c>
      <c r="D260" s="383">
        <v>89549850</v>
      </c>
      <c r="E260" s="383">
        <v>89549850</v>
      </c>
      <c r="F260" s="472">
        <v>8486801.25</v>
      </c>
      <c r="G260" s="384">
        <v>39535959.409999996</v>
      </c>
      <c r="H260" s="472">
        <v>28582000</v>
      </c>
      <c r="I260" s="44">
        <f t="shared" si="26"/>
        <v>10953959.409999996</v>
      </c>
      <c r="J260" s="330">
        <f t="shared" si="27"/>
        <v>0.38324677804212431</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103447828.51000001</v>
      </c>
      <c r="D341" s="475">
        <f t="shared" ref="D341:K341" si="45">D176+D187+D198+D209+D220+D231+D242+D253+D264+D286+D297+D308+D319+D330+D275</f>
        <v>142719850</v>
      </c>
      <c r="E341" s="430">
        <f t="shared" si="45"/>
        <v>142719850</v>
      </c>
      <c r="F341" s="474">
        <f t="shared" si="45"/>
        <v>9915031.4600000009</v>
      </c>
      <c r="G341" s="430">
        <f t="shared" si="45"/>
        <v>49310833.030000001</v>
      </c>
      <c r="H341" s="474">
        <f t="shared" si="45"/>
        <v>37598340</v>
      </c>
      <c r="I341" s="430">
        <f t="shared" si="41"/>
        <v>11712493.030000001</v>
      </c>
      <c r="J341" s="430">
        <f t="shared" si="42"/>
        <v>0.31151622731216327</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103447828.51000001</v>
      </c>
      <c r="D343" s="512">
        <f t="shared" ref="D343:K343" si="47">D172+D341</f>
        <v>142719850</v>
      </c>
      <c r="E343" s="55">
        <f t="shared" si="47"/>
        <v>142719850</v>
      </c>
      <c r="F343" s="479">
        <f t="shared" si="47"/>
        <v>9915031.4600000009</v>
      </c>
      <c r="G343" s="55">
        <f t="shared" si="47"/>
        <v>49310833.030000001</v>
      </c>
      <c r="H343" s="479">
        <f t="shared" si="47"/>
        <v>37598340</v>
      </c>
      <c r="I343" s="55">
        <f t="shared" si="41"/>
        <v>11712493.030000001</v>
      </c>
      <c r="J343" s="55">
        <f t="shared" si="42"/>
        <v>0.31151622731216327</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8" activePane="bottomRight" state="frozen"/>
      <selection pane="topRight"/>
      <selection pane="bottomLeft"/>
      <selection pane="bottomRight" activeCell="F38" sqref="F38"/>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9" t="str">
        <f>muni&amp; " - "&amp;S71E&amp; " - "&amp;date</f>
        <v>LIM333 Greater Tzaneen - Table C6 Consolidated Monthly Budget Statement - Financial Position  - M05 November</v>
      </c>
      <c r="B1" s="1039"/>
      <c r="C1" s="1039"/>
      <c r="D1" s="1039"/>
      <c r="E1" s="1039"/>
      <c r="F1" s="1039"/>
      <c r="G1" s="1039"/>
    </row>
    <row r="2" spans="1:8" x14ac:dyDescent="0.25">
      <c r="A2" s="1024" t="str">
        <f>desc</f>
        <v>Description</v>
      </c>
      <c r="B2" s="1017" t="str">
        <f>head27</f>
        <v>Ref</v>
      </c>
      <c r="C2" s="140" t="str">
        <f>Head1</f>
        <v>2018/19</v>
      </c>
      <c r="D2" s="245" t="str">
        <f>Head2</f>
        <v>Budget Year 2019/20</v>
      </c>
      <c r="E2" s="229"/>
      <c r="F2" s="229"/>
      <c r="G2" s="230"/>
    </row>
    <row r="3" spans="1:8" ht="25.5" x14ac:dyDescent="0.25">
      <c r="A3" s="1025"/>
      <c r="B3" s="1028"/>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v>42033011</v>
      </c>
      <c r="D7" s="754">
        <v>7240823</v>
      </c>
      <c r="E7" s="754">
        <v>84863608</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v>92609071</v>
      </c>
      <c r="D9" s="754">
        <v>136462652.74019998</v>
      </c>
      <c r="E9" s="754">
        <v>136462048.22000003</v>
      </c>
      <c r="F9" s="734"/>
      <c r="G9" s="736">
        <v>136462652.74019998</v>
      </c>
    </row>
    <row r="10" spans="1:8" ht="12.75" customHeight="1" x14ac:dyDescent="0.25">
      <c r="A10" s="39" t="s">
        <v>598</v>
      </c>
      <c r="B10" s="169"/>
      <c r="C10" s="749">
        <v>298515783</v>
      </c>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v>18162335</v>
      </c>
      <c r="D12" s="754">
        <v>21128773.050000001</v>
      </c>
      <c r="E12" s="754">
        <v>21128773.050000001</v>
      </c>
      <c r="F12" s="734"/>
      <c r="G12" s="736">
        <v>21128773.050000001</v>
      </c>
    </row>
    <row r="13" spans="1:8" ht="12.75" customHeight="1" x14ac:dyDescent="0.25">
      <c r="A13" s="92" t="s">
        <v>641</v>
      </c>
      <c r="B13" s="233"/>
      <c r="C13" s="243">
        <f>SUM(C7:C12)</f>
        <v>451320200</v>
      </c>
      <c r="D13" s="260">
        <f>SUM(D7:D12)</f>
        <v>466057613.20480001</v>
      </c>
      <c r="E13" s="73">
        <f>SUM(E7:E12)</f>
        <v>543679793.6846</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v>31525083</v>
      </c>
      <c r="D17" s="754">
        <v>33878623.323100001</v>
      </c>
      <c r="E17" s="754">
        <v>33878623.323100001</v>
      </c>
      <c r="F17" s="734"/>
      <c r="G17" s="736">
        <v>33878623.323100001</v>
      </c>
      <c r="H17" s="39"/>
    </row>
    <row r="18" spans="1:8" ht="12.75" customHeight="1" x14ac:dyDescent="0.25">
      <c r="A18" s="39" t="s">
        <v>594</v>
      </c>
      <c r="B18" s="169"/>
      <c r="C18" s="749">
        <v>181377053</v>
      </c>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v>1455227822</v>
      </c>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v>1135137</v>
      </c>
      <c r="D23" s="754">
        <v>1416824.3247999998</v>
      </c>
      <c r="E23" s="754">
        <v>1416824.3247999998</v>
      </c>
      <c r="F23" s="734"/>
      <c r="G23" s="736">
        <v>1416824.3247999998</v>
      </c>
      <c r="H23" s="39"/>
    </row>
    <row r="24" spans="1:8" ht="12.75" customHeight="1" x14ac:dyDescent="0.25">
      <c r="A24" s="39" t="s">
        <v>806</v>
      </c>
      <c r="B24" s="169"/>
      <c r="C24" s="749">
        <v>195000</v>
      </c>
      <c r="D24" s="754"/>
      <c r="E24" s="734"/>
      <c r="F24" s="734"/>
      <c r="G24" s="736"/>
      <c r="H24" s="39"/>
    </row>
    <row r="25" spans="1:8" ht="12.75" customHeight="1" x14ac:dyDescent="0.25">
      <c r="A25" s="92" t="s">
        <v>640</v>
      </c>
      <c r="B25" s="233"/>
      <c r="C25" s="243">
        <f>SUM(C16:C20)+SUM(C22:C24)</f>
        <v>1669460095</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2120780295</v>
      </c>
      <c r="D26" s="260">
        <f>D13+D25</f>
        <v>2322246005.8527002</v>
      </c>
      <c r="E26" s="73">
        <f>E13+E25</f>
        <v>2399868186.3325</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v>21670248</v>
      </c>
      <c r="D31" s="754">
        <v>9818010.3850491252</v>
      </c>
      <c r="E31" s="754">
        <v>9818010.3850491252</v>
      </c>
      <c r="F31" s="734"/>
      <c r="G31" s="736">
        <v>9818010.3850491252</v>
      </c>
    </row>
    <row r="32" spans="1:8" ht="12.75" customHeight="1" x14ac:dyDescent="0.25">
      <c r="A32" s="39" t="s">
        <v>592</v>
      </c>
      <c r="B32" s="169"/>
      <c r="C32" s="749">
        <v>27068007</v>
      </c>
      <c r="D32" s="754">
        <v>29058463</v>
      </c>
      <c r="E32" s="754">
        <v>29058463</v>
      </c>
      <c r="F32" s="734"/>
      <c r="G32" s="736">
        <v>29058463</v>
      </c>
    </row>
    <row r="33" spans="1:7" ht="12.75" customHeight="1" x14ac:dyDescent="0.25">
      <c r="A33" s="39" t="s">
        <v>798</v>
      </c>
      <c r="B33" s="169"/>
      <c r="C33" s="749">
        <v>276788637</v>
      </c>
      <c r="D33" s="754">
        <v>247511222.12715</v>
      </c>
      <c r="E33" s="754">
        <v>247511222.12715</v>
      </c>
      <c r="F33" s="734"/>
      <c r="G33" s="736">
        <v>247511222.12715</v>
      </c>
    </row>
    <row r="34" spans="1:7" ht="12.75" customHeight="1" x14ac:dyDescent="0.25">
      <c r="A34" s="39" t="s">
        <v>555</v>
      </c>
      <c r="B34" s="169"/>
      <c r="C34" s="749">
        <v>948670</v>
      </c>
      <c r="D34" s="754">
        <v>500815.48639999999</v>
      </c>
      <c r="E34" s="754">
        <v>500815.48639999999</v>
      </c>
      <c r="F34" s="734"/>
      <c r="G34" s="736">
        <v>500815.48639999999</v>
      </c>
    </row>
    <row r="35" spans="1:7" ht="12.75" customHeight="1" x14ac:dyDescent="0.25">
      <c r="A35" s="92" t="s">
        <v>466</v>
      </c>
      <c r="B35" s="233"/>
      <c r="C35" s="243">
        <f>SUM(C30:C34)</f>
        <v>326475562</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v>110645166</v>
      </c>
      <c r="D38" s="754">
        <v>113337810.80647588</v>
      </c>
      <c r="E38" s="754">
        <v>113337810.80647588</v>
      </c>
      <c r="F38" s="734"/>
      <c r="G38" s="736">
        <v>113337810.80647588</v>
      </c>
    </row>
    <row r="39" spans="1:7" ht="12.75" customHeight="1" x14ac:dyDescent="0.25">
      <c r="A39" s="39" t="s">
        <v>555</v>
      </c>
      <c r="B39" s="169"/>
      <c r="C39" s="749">
        <v>90115333</v>
      </c>
      <c r="D39" s="754">
        <v>86383353.128000006</v>
      </c>
      <c r="E39" s="754">
        <v>86383353.128000006</v>
      </c>
      <c r="F39" s="734"/>
      <c r="G39" s="736">
        <v>86383353.128000006</v>
      </c>
    </row>
    <row r="40" spans="1:7" ht="12.75" customHeight="1" x14ac:dyDescent="0.25">
      <c r="A40" s="92" t="s">
        <v>465</v>
      </c>
      <c r="B40" s="233"/>
      <c r="C40" s="243">
        <f>SUM(C38:C39)</f>
        <v>200760499</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527236061</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1593544234</v>
      </c>
      <c r="D43" s="265">
        <f>D26-D41</f>
        <v>1835636330.9196253</v>
      </c>
      <c r="E43" s="76">
        <f>E26-E41</f>
        <v>1913258511.399425</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v>1593544234</v>
      </c>
      <c r="D46" s="754">
        <v>1835636330.9196253</v>
      </c>
      <c r="E46" s="754">
        <v>1913258510.9196301</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1593544234</v>
      </c>
      <c r="D48" s="271">
        <f>SUM(D46:D47)</f>
        <v>1835636330.9196253</v>
      </c>
      <c r="E48" s="55">
        <f>SUM(E46:E47)</f>
        <v>1913258510.9196301</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8" t="s">
        <v>151</v>
      </c>
      <c r="B50" s="1038"/>
      <c r="C50" s="1038"/>
      <c r="D50" s="1038"/>
      <c r="E50" s="1038"/>
      <c r="F50" s="1038"/>
      <c r="G50" s="1038"/>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0.47979497909545898</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41" activePane="bottomRight" state="frozen"/>
      <selection pane="topRight"/>
      <selection pane="bottomLeft"/>
      <selection pane="bottomRight" activeCell="E40" sqref="E40"/>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"&amp;S71F&amp; " - "&amp;date</f>
        <v>LIM333 Greater Tzaneen - Table C7 Consolidated Monthly Budget Statement - Cash Flow  - M05 November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v>89038362</v>
      </c>
      <c r="D7" s="746">
        <v>101160000</v>
      </c>
      <c r="E7" s="746">
        <v>101160000</v>
      </c>
      <c r="F7" s="734">
        <v>6913624.1100000003</v>
      </c>
      <c r="G7" s="734">
        <v>22351948.109999999</v>
      </c>
      <c r="H7" s="734">
        <v>22565642.288639784</v>
      </c>
      <c r="I7" s="44">
        <f t="shared" ref="I7:I13" si="0">G7-H7</f>
        <v>-213694.17863978446</v>
      </c>
      <c r="J7" s="330">
        <f>IF(I7=0,"",I7/H7)</f>
        <v>-9.4698912579751597E-3</v>
      </c>
      <c r="K7" s="736">
        <v>101160000</v>
      </c>
    </row>
    <row r="8" spans="1:11" ht="12.75" customHeight="1" x14ac:dyDescent="0.25">
      <c r="A8" s="518" t="s">
        <v>977</v>
      </c>
      <c r="B8" s="169"/>
      <c r="C8" s="749">
        <v>537824116.68000007</v>
      </c>
      <c r="D8" s="746">
        <v>562168444.44000006</v>
      </c>
      <c r="E8" s="746">
        <v>555728444.44000006</v>
      </c>
      <c r="F8" s="734">
        <v>60853609.740000002</v>
      </c>
      <c r="G8" s="734">
        <v>156793719.32662404</v>
      </c>
      <c r="H8" s="734">
        <v>132793703.97519165</v>
      </c>
      <c r="I8" s="44">
        <f t="shared" si="0"/>
        <v>24000015.351432383</v>
      </c>
      <c r="J8" s="330">
        <f>IF(I8=0,"",I8/H8)</f>
        <v>0.18073157561683825</v>
      </c>
      <c r="K8" s="736">
        <v>562168444.44000006</v>
      </c>
    </row>
    <row r="9" spans="1:11" ht="12.75" customHeight="1" x14ac:dyDescent="0.25">
      <c r="A9" s="518" t="s">
        <v>460</v>
      </c>
      <c r="B9" s="169"/>
      <c r="C9" s="749">
        <v>52656007</v>
      </c>
      <c r="D9" s="746">
        <v>65004167</v>
      </c>
      <c r="E9" s="746">
        <v>61186167</v>
      </c>
      <c r="F9" s="734">
        <v>47326549.25</v>
      </c>
      <c r="G9" s="734">
        <v>91101189.25</v>
      </c>
      <c r="H9" s="734">
        <v>15507511.054648589</v>
      </c>
      <c r="I9" s="44">
        <f t="shared" si="0"/>
        <v>75593678.195351407</v>
      </c>
      <c r="J9" s="330">
        <f>IF(I9=0,"",I9/H9)</f>
        <v>4.8746493185759272</v>
      </c>
      <c r="K9" s="736">
        <v>65004167</v>
      </c>
    </row>
    <row r="10" spans="1:11" ht="12.75" customHeight="1" x14ac:dyDescent="0.25">
      <c r="A10" s="86" t="s">
        <v>705</v>
      </c>
      <c r="B10" s="171"/>
      <c r="C10" s="749">
        <f>474170811-C11</f>
        <v>426078320</v>
      </c>
      <c r="D10" s="746">
        <v>416300150</v>
      </c>
      <c r="E10" s="746">
        <v>417239751</v>
      </c>
      <c r="F10" s="734">
        <v>0</v>
      </c>
      <c r="G10" s="734">
        <v>167455000</v>
      </c>
      <c r="H10" s="734">
        <v>164297303.37842816</v>
      </c>
      <c r="I10" s="44">
        <f t="shared" si="0"/>
        <v>3157696.6215718389</v>
      </c>
      <c r="J10" s="330">
        <f>IF(I10=0,"",I10/H10)</f>
        <v>1.9219406263161085E-2</v>
      </c>
      <c r="K10" s="736">
        <v>416300150</v>
      </c>
    </row>
    <row r="11" spans="1:11" ht="12.75" customHeight="1" x14ac:dyDescent="0.25">
      <c r="A11" s="86" t="s">
        <v>706</v>
      </c>
      <c r="B11" s="171"/>
      <c r="C11" s="749">
        <v>48092491</v>
      </c>
      <c r="D11" s="746">
        <v>89549850</v>
      </c>
      <c r="E11" s="746">
        <v>89549850</v>
      </c>
      <c r="F11" s="734">
        <v>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v>9615814</v>
      </c>
      <c r="D12" s="746">
        <v>14910700</v>
      </c>
      <c r="E12" s="746">
        <v>14910700</v>
      </c>
      <c r="F12" s="734">
        <v>0</v>
      </c>
      <c r="G12" s="734">
        <v>195129</v>
      </c>
      <c r="H12" s="734">
        <v>2945409.1361758607</v>
      </c>
      <c r="I12" s="44">
        <f t="shared" si="0"/>
        <v>-2750280.1361758607</v>
      </c>
      <c r="J12" s="330">
        <f t="shared" si="1"/>
        <v>-0.933751478664406</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v>-930219538</v>
      </c>
      <c r="D15" s="746">
        <v>-1061092407.8099999</v>
      </c>
      <c r="E15" s="746">
        <v>-995575744.80999994</v>
      </c>
      <c r="F15" s="734">
        <v>-118027261.25</v>
      </c>
      <c r="G15" s="734">
        <f>-382575267.34-65000000</f>
        <v>-447575267.33999997</v>
      </c>
      <c r="H15" s="734">
        <v>-312615987.960751</v>
      </c>
      <c r="I15" s="44">
        <f>H15-G15</f>
        <v>134959279.37924898</v>
      </c>
      <c r="J15" s="330">
        <f t="shared" si="1"/>
        <v>-0.43170946009387445</v>
      </c>
      <c r="K15" s="736">
        <v>-1061092407.8099999</v>
      </c>
    </row>
    <row r="16" spans="1:11" ht="12.75" customHeight="1" x14ac:dyDescent="0.25">
      <c r="A16" s="86" t="s">
        <v>459</v>
      </c>
      <c r="B16" s="171"/>
      <c r="C16" s="749">
        <v>-10961350</v>
      </c>
      <c r="D16" s="746">
        <v>-14658314</v>
      </c>
      <c r="E16" s="746">
        <v>-14658314</v>
      </c>
      <c r="F16" s="734">
        <v>-1939730.31</v>
      </c>
      <c r="G16" s="734">
        <v>-2356493.9991093599</v>
      </c>
      <c r="H16" s="734">
        <v>-497995.78846236598</v>
      </c>
      <c r="I16" s="44">
        <f>H16-G16</f>
        <v>1858498.2106469939</v>
      </c>
      <c r="J16" s="330">
        <f t="shared" si="1"/>
        <v>-3.7319556785517722</v>
      </c>
      <c r="K16" s="736">
        <v>-14658314</v>
      </c>
    </row>
    <row r="17" spans="1:11" ht="12.75" customHeight="1" x14ac:dyDescent="0.25">
      <c r="A17" s="86" t="s">
        <v>69</v>
      </c>
      <c r="B17" s="171"/>
      <c r="C17" s="749">
        <v>-50297361</v>
      </c>
      <c r="D17" s="746">
        <v>-35047673</v>
      </c>
      <c r="E17" s="746">
        <v>-37815673</v>
      </c>
      <c r="F17" s="734">
        <v>-1249524.98</v>
      </c>
      <c r="G17" s="734">
        <v>-3815424.45</v>
      </c>
      <c r="H17" s="734">
        <v>-3815424.45</v>
      </c>
      <c r="I17" s="44">
        <f>H17-G17</f>
        <v>0</v>
      </c>
      <c r="J17" s="330" t="str">
        <f t="shared" si="1"/>
        <v/>
      </c>
      <c r="K17" s="736">
        <v>-35047673</v>
      </c>
    </row>
    <row r="18" spans="1:11" ht="12.75" customHeight="1" x14ac:dyDescent="0.25">
      <c r="A18" s="92" t="s">
        <v>903</v>
      </c>
      <c r="B18" s="233"/>
      <c r="C18" s="243">
        <f t="shared" ref="C18:H18" si="2">SUM(C7:C13)+SUM(C15:C17)</f>
        <v>171826861.68000007</v>
      </c>
      <c r="D18" s="74">
        <f t="shared" si="2"/>
        <v>138294916.63000011</v>
      </c>
      <c r="E18" s="73">
        <f t="shared" si="2"/>
        <v>191725180.63000011</v>
      </c>
      <c r="F18" s="73">
        <f t="shared" si="2"/>
        <v>-6122733.4399999976</v>
      </c>
      <c r="G18" s="73">
        <f t="shared" si="2"/>
        <v>15385799.897514701</v>
      </c>
      <c r="H18" s="73">
        <f t="shared" si="2"/>
        <v>59746395.612463653</v>
      </c>
      <c r="I18" s="73">
        <f>H18-G18</f>
        <v>44360595.714948952</v>
      </c>
      <c r="J18" s="331">
        <f t="shared" si="1"/>
        <v>0.74248153817826157</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v>676890</v>
      </c>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v>-4367443</v>
      </c>
      <c r="D25" s="746">
        <v>-3711461.1530999988</v>
      </c>
      <c r="E25" s="746">
        <v>-4211461.1530999988</v>
      </c>
      <c r="F25" s="734">
        <v>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v>-167957648</v>
      </c>
      <c r="D27" s="746">
        <v>-137084850</v>
      </c>
      <c r="E27" s="746">
        <v>-142967850</v>
      </c>
      <c r="F27" s="734">
        <v>-4790238.71</v>
      </c>
      <c r="G27" s="734">
        <v>-34591330.100000001</v>
      </c>
      <c r="H27" s="734">
        <v>-16271963.646883801</v>
      </c>
      <c r="I27" s="44">
        <f>H27-G27</f>
        <v>18319366.453116201</v>
      </c>
      <c r="J27" s="330">
        <f t="shared" si="3"/>
        <v>-1.1258239540514516</v>
      </c>
      <c r="K27" s="736">
        <v>-137084850</v>
      </c>
    </row>
    <row r="28" spans="1:11" ht="12.75" customHeight="1" x14ac:dyDescent="0.25">
      <c r="A28" s="92" t="s">
        <v>904</v>
      </c>
      <c r="B28" s="233"/>
      <c r="C28" s="546">
        <f t="shared" ref="C28:H28" si="4">SUM(C22:C25)+C27</f>
        <v>-171648201</v>
      </c>
      <c r="D28" s="74">
        <f>SUM(D22:D25)+D27</f>
        <v>-138296311.15310001</v>
      </c>
      <c r="E28" s="73">
        <f t="shared" si="4"/>
        <v>-144679311.15310001</v>
      </c>
      <c r="F28" s="73">
        <f t="shared" si="4"/>
        <v>-4790238.71</v>
      </c>
      <c r="G28" s="73">
        <f t="shared" si="4"/>
        <v>-35451330.100000001</v>
      </c>
      <c r="H28" s="73">
        <f t="shared" si="4"/>
        <v>-16271963.646883801</v>
      </c>
      <c r="I28" s="73">
        <f>H28-G28</f>
        <v>19179366.453116201</v>
      </c>
      <c r="J28" s="331">
        <f t="shared" si="3"/>
        <v>-1.1786755962172513</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v>40000000</v>
      </c>
      <c r="D33" s="746">
        <v>20000000</v>
      </c>
      <c r="E33" s="746">
        <v>20000000</v>
      </c>
      <c r="F33" s="734">
        <v>19947068</v>
      </c>
      <c r="G33" s="734">
        <v>19947068</v>
      </c>
      <c r="H33" s="734"/>
      <c r="I33" s="44">
        <f>G33-H33</f>
        <v>19947068</v>
      </c>
      <c r="J33" s="330" t="e">
        <f t="shared" si="5"/>
        <v>#DIV/0!</v>
      </c>
      <c r="K33" s="736">
        <v>20000000</v>
      </c>
    </row>
    <row r="34" spans="1:11" ht="12.75" customHeight="1" x14ac:dyDescent="0.25">
      <c r="A34" s="39" t="s">
        <v>70</v>
      </c>
      <c r="B34" s="169"/>
      <c r="C34" s="749"/>
      <c r="D34" s="746">
        <v>1100000</v>
      </c>
      <c r="E34" s="746">
        <v>1100000</v>
      </c>
      <c r="F34" s="734">
        <v>8580</v>
      </c>
      <c r="G34" s="734">
        <v>30435</v>
      </c>
      <c r="H34" s="734">
        <v>283106.06483982538</v>
      </c>
      <c r="I34" s="44">
        <f>G34-H34</f>
        <v>-252671.06483982538</v>
      </c>
      <c r="J34" s="330">
        <f t="shared" si="5"/>
        <v>-0.89249612148994617</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v>-5636315</v>
      </c>
      <c r="D36" s="746">
        <v>-25315227.710000001</v>
      </c>
      <c r="E36" s="746">
        <v>-25315227.710000001</v>
      </c>
      <c r="F36" s="734">
        <v>-15147561</v>
      </c>
      <c r="G36" s="734">
        <v>-15596355.810000001</v>
      </c>
      <c r="H36" s="734">
        <v>-1165377.8294546001</v>
      </c>
      <c r="I36" s="44">
        <f>H36-G36</f>
        <v>14430977.9805454</v>
      </c>
      <c r="J36" s="330">
        <f t="shared" si="5"/>
        <v>-12.383089514667647</v>
      </c>
      <c r="K36" s="736">
        <v>-25315227.710000001</v>
      </c>
    </row>
    <row r="37" spans="1:11" ht="12.75" customHeight="1" x14ac:dyDescent="0.25">
      <c r="A37" s="92" t="s">
        <v>905</v>
      </c>
      <c r="B37" s="233"/>
      <c r="C37" s="546">
        <f t="shared" ref="C37:H37" si="6">SUM(C32:C34)+C36</f>
        <v>34363685</v>
      </c>
      <c r="D37" s="74">
        <f t="shared" si="6"/>
        <v>-4215227.7100000009</v>
      </c>
      <c r="E37" s="73">
        <f t="shared" si="6"/>
        <v>-4215227.7100000009</v>
      </c>
      <c r="F37" s="73">
        <f t="shared" si="6"/>
        <v>4808087</v>
      </c>
      <c r="G37" s="73">
        <f t="shared" si="6"/>
        <v>4381147.1899999995</v>
      </c>
      <c r="H37" s="73">
        <f t="shared" si="6"/>
        <v>-882271.76461477473</v>
      </c>
      <c r="I37" s="73">
        <f>H37-G37</f>
        <v>-5263418.9546147743</v>
      </c>
      <c r="J37" s="331">
        <f t="shared" si="5"/>
        <v>5.9657569988232986</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34542345.680000067</v>
      </c>
      <c r="D39" s="51">
        <f t="shared" si="7"/>
        <v>-4216622.2330999002</v>
      </c>
      <c r="E39" s="50">
        <f t="shared" si="7"/>
        <v>42830641.7669001</v>
      </c>
      <c r="F39" s="50">
        <f t="shared" si="7"/>
        <v>-6104885.1499999985</v>
      </c>
      <c r="G39" s="50">
        <f t="shared" si="7"/>
        <v>-15684383.012485301</v>
      </c>
      <c r="H39" s="50">
        <f t="shared" si="7"/>
        <v>42592160.200965077</v>
      </c>
      <c r="I39" s="327"/>
      <c r="J39" s="327"/>
      <c r="K39" s="194">
        <f>K18+K28+K37</f>
        <v>-4216622.2330999002</v>
      </c>
    </row>
    <row r="40" spans="1:11" ht="12.75" customHeight="1" x14ac:dyDescent="0.25">
      <c r="A40" s="39" t="s">
        <v>512</v>
      </c>
      <c r="B40" s="169"/>
      <c r="C40" s="749">
        <v>7490665</v>
      </c>
      <c r="D40" s="746">
        <v>11457490</v>
      </c>
      <c r="E40" s="746">
        <v>42033011</v>
      </c>
      <c r="F40" s="273"/>
      <c r="G40" s="734">
        <v>42033011</v>
      </c>
      <c r="H40" s="44">
        <f>IF(E40=0, D40, E40)</f>
        <v>42033011</v>
      </c>
      <c r="I40" s="273"/>
      <c r="J40" s="273"/>
      <c r="K40" s="385">
        <f>G40</f>
        <v>42033011</v>
      </c>
    </row>
    <row r="41" spans="1:11" ht="12.75" customHeight="1" x14ac:dyDescent="0.25">
      <c r="A41" s="129" t="s">
        <v>55</v>
      </c>
      <c r="B41" s="119"/>
      <c r="C41" s="225">
        <f>C39+C40</f>
        <v>42033010.680000067</v>
      </c>
      <c r="D41" s="116">
        <f>D39+D40</f>
        <v>7240867.7669000998</v>
      </c>
      <c r="E41" s="115">
        <f>E39+E40</f>
        <v>84863652.766900092</v>
      </c>
      <c r="F41" s="274"/>
      <c r="G41" s="115">
        <f>G39+G40</f>
        <v>26348627.987514697</v>
      </c>
      <c r="H41" s="115">
        <f>H39+H40</f>
        <v>84625171.200965077</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20" sqref="D20"/>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5" t="str">
        <f>muni&amp; " - "&amp;S71G&amp; " - "&amp;date</f>
        <v>LIM333 Greater Tzaneen - Supporting Table SC1 Material variance explanations  - M05 November</v>
      </c>
      <c r="B1" s="1035"/>
      <c r="C1" s="1035"/>
      <c r="D1" s="1035"/>
      <c r="E1" s="1035"/>
    </row>
    <row r="2" spans="1:5" x14ac:dyDescent="0.25">
      <c r="A2" s="1017" t="str">
        <f>head27</f>
        <v>Ref</v>
      </c>
      <c r="B2" s="1024" t="str">
        <f>desc</f>
        <v>Description</v>
      </c>
      <c r="C2" s="269"/>
      <c r="D2" s="269"/>
      <c r="E2" s="275"/>
    </row>
    <row r="3" spans="1:5" x14ac:dyDescent="0.25">
      <c r="A3" s="1028"/>
      <c r="B3" s="1025"/>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1571</v>
      </c>
      <c r="C6" s="749">
        <v>10</v>
      </c>
      <c r="D6" s="759" t="s">
        <v>1572</v>
      </c>
      <c r="E6" s="759" t="s">
        <v>1573</v>
      </c>
    </row>
    <row r="7" spans="1:5" ht="11.25" customHeight="1" x14ac:dyDescent="0.25">
      <c r="A7" s="169"/>
      <c r="B7" s="759" t="s">
        <v>1574</v>
      </c>
      <c r="C7" s="749">
        <v>13</v>
      </c>
      <c r="D7" s="759" t="s">
        <v>1575</v>
      </c>
      <c r="E7" s="759" t="s">
        <v>1576</v>
      </c>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t="s">
        <v>1577</v>
      </c>
      <c r="C11" s="749">
        <v>0</v>
      </c>
      <c r="D11" s="759" t="s">
        <v>1578</v>
      </c>
      <c r="E11" s="759" t="s">
        <v>1579</v>
      </c>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J28" sqref="J28"/>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5" t="str">
        <f>muni&amp; " - "&amp;S71H&amp; " - "&amp;Head57</f>
        <v>LIM333 Greater Tzaneen - Supporting Table SC2 Monthly Budget Statement - performance indicators   - M05 November</v>
      </c>
      <c r="B1" s="1035"/>
      <c r="C1" s="1035"/>
      <c r="D1" s="1035"/>
      <c r="E1" s="1035"/>
      <c r="F1" s="1035"/>
      <c r="G1" s="1035"/>
      <c r="H1" s="1035"/>
    </row>
    <row r="2" spans="1:11" ht="12.75" x14ac:dyDescent="0.25">
      <c r="A2" s="1040" t="s">
        <v>563</v>
      </c>
      <c r="B2" s="1024" t="s">
        <v>783</v>
      </c>
      <c r="C2" s="1017" t="str">
        <f>head27</f>
        <v>Ref</v>
      </c>
      <c r="D2" s="138" t="str">
        <f>Head1</f>
        <v>2018/19</v>
      </c>
      <c r="E2" s="245" t="str">
        <f>Head2</f>
        <v>Budget Year 2019/20</v>
      </c>
      <c r="F2" s="229"/>
      <c r="G2" s="229"/>
      <c r="H2" s="230"/>
    </row>
    <row r="3" spans="1:11" ht="25.5" x14ac:dyDescent="0.25">
      <c r="A3" s="1041"/>
      <c r="B3" s="1025"/>
      <c r="C3" s="102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5.2274284514400625E-3</v>
      </c>
      <c r="E7" s="282">
        <f>IF(ISERROR((E42+E44)/E45),0,((E42+E44)/E45))</f>
        <v>0.11329261683653791</v>
      </c>
      <c r="F7" s="124">
        <f>IF(ISERROR((F42+F44)/F45),0,((F42+F44)/F45))</f>
        <v>0.11774761170999312</v>
      </c>
      <c r="G7" s="124">
        <f>IF(ISERROR((G42+G44)/G45),0,((G42+G44)/G45))</f>
        <v>1.2969394361239856E-2</v>
      </c>
      <c r="H7" s="276">
        <f>IF(ISERROR((H42+H44)/H45),0,((H42+H44)/H45))</f>
        <v>3.3203094077079935E-2</v>
      </c>
    </row>
    <row r="8" spans="1:11" ht="30" customHeight="1" x14ac:dyDescent="0.25">
      <c r="A8" s="126" t="s">
        <v>1065</v>
      </c>
      <c r="B8" s="123" t="s">
        <v>66</v>
      </c>
      <c r="C8" s="174"/>
      <c r="D8" s="120">
        <f>IF(ISERROR(D47/D46),0,(D47/D46))</f>
        <v>0.20210632065591339</v>
      </c>
      <c r="E8" s="282">
        <f>IF(ISERROR(E47/E46),0,(E47/E46))</f>
        <v>0.14013467643078381</v>
      </c>
      <c r="F8" s="124">
        <f>IF(ISERROR(F47/F46),0,(F47/F46))</f>
        <v>0.14013467643078381</v>
      </c>
      <c r="G8" s="124">
        <f>IF(ISERROR(G47/G46),0,(G47/G46))</f>
        <v>0.11959812393378259</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0.25672588326782525</v>
      </c>
      <c r="E10" s="282">
        <f>IF(ISERROR(E48/E49),0,(E48/E49))</f>
        <v>0.20192836515333984</v>
      </c>
      <c r="F10" s="124">
        <f>IF(ISERROR(F48/F49),0,(F48/F49))</f>
        <v>0.19373599605236283</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1.3824011734146275</v>
      </c>
      <c r="E13" s="282">
        <f>IF(ISERROR(E52/E53),0,(E52/E53))</f>
        <v>1.6245251912757002</v>
      </c>
      <c r="F13" s="124">
        <f>IF(ISERROR(F52/F53),0,(F52/F53))</f>
        <v>1.8950908553018173</v>
      </c>
      <c r="G13" s="124">
        <f>IF(ISERROR(G52/G53),0,(G52/G53))</f>
        <v>0</v>
      </c>
      <c r="H13" s="276">
        <f>IF(ISERROR(H52/H53),0,(H52/H53))</f>
        <v>1.6245251912757002</v>
      </c>
    </row>
    <row r="14" spans="1:11" ht="12.75" customHeight="1" x14ac:dyDescent="0.25">
      <c r="A14" s="126" t="s">
        <v>749</v>
      </c>
      <c r="B14" s="123" t="s">
        <v>442</v>
      </c>
      <c r="C14" s="174"/>
      <c r="D14" s="120">
        <f>IF(ISERROR(D54/D53),0,(D54/D53))</f>
        <v>0.12874780195646007</v>
      </c>
      <c r="E14" s="282">
        <f>IF(ISERROR(E54/E53),0,(E54/E53))</f>
        <v>2.5239152919704608E-2</v>
      </c>
      <c r="F14" s="124">
        <f>IF(ISERROR(F54/F53),0,(F54/F53))</f>
        <v>0.29580692410653697</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0.36926342753413138</v>
      </c>
      <c r="E17" s="282">
        <f>IF(ISERROR(E59/E55),0,(E59/E55))</f>
        <v>0.34473763108955124</v>
      </c>
      <c r="F17" s="124">
        <f>IF(ISERROR(F59/F55),0,(F59/F55))</f>
        <v>0.34636387829525617</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v>0.98</v>
      </c>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v>0.20619999999999999</v>
      </c>
      <c r="E24" s="763">
        <v>0.1817</v>
      </c>
      <c r="F24" s="763">
        <v>0.1817</v>
      </c>
      <c r="G24" s="763">
        <v>0.1817</v>
      </c>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0.27873082737112642</v>
      </c>
      <c r="E26" s="282">
        <f>IF(ISERROR(E40/E55),0,(E40/E55))</f>
        <v>0.2816240863512503</v>
      </c>
      <c r="F26" s="124">
        <f>IF(ISERROR(F40/F55),0,(F40/F55))</f>
        <v>0.25757126248678242</v>
      </c>
      <c r="G26" s="124">
        <f>IF(ISERROR(G40/G55),0,(G40/G55))</f>
        <v>0.24080292328285219</v>
      </c>
      <c r="H26" s="276">
        <f>IF(ISERROR(H40/H55),0,(H40/H55))</f>
        <v>0.2816240863512503</v>
      </c>
    </row>
    <row r="27" spans="1:8" ht="27.75" customHeight="1" x14ac:dyDescent="0.25">
      <c r="A27" s="126" t="s">
        <v>766</v>
      </c>
      <c r="B27" s="123" t="s">
        <v>769</v>
      </c>
      <c r="C27" s="174"/>
      <c r="D27" s="120">
        <f>IF(ISERROR(D41/D55),0,(D41/D55))</f>
        <v>3.9801543440708381E-2</v>
      </c>
      <c r="E27" s="282">
        <f>IF(ISERROR(E41/E55),0,(E41/E55))</f>
        <v>5.6401037025648561E-2</v>
      </c>
      <c r="F27" s="124">
        <f>IF(ISERROR(F41/F55),0,(F41/F55))</f>
        <v>5.6667178584067369E-2</v>
      </c>
      <c r="G27" s="124">
        <f>IF(ISERROR(G41/G55),0,(G41/G55))</f>
        <v>3.4834132360871059E-2</v>
      </c>
      <c r="H27" s="276">
        <f>IF(ISERROR(H41/H55),0,(H41/H55))</f>
        <v>5.6401037025648561E-2</v>
      </c>
    </row>
    <row r="28" spans="1:8" ht="27.75" customHeight="1" x14ac:dyDescent="0.25">
      <c r="A28" s="126" t="s">
        <v>767</v>
      </c>
      <c r="B28" s="123" t="s">
        <v>750</v>
      </c>
      <c r="C28" s="174"/>
      <c r="D28" s="120">
        <f>IF(ISERROR((D42+D44)/D55),0,((D42+D44)/D55))</f>
        <v>0.13188961344389194</v>
      </c>
      <c r="E28" s="282">
        <f>IF(ISERROR((E42+E44)/E55),0,((E42+E44)/E55))</f>
        <v>0.11724300968942394</v>
      </c>
      <c r="F28" s="124">
        <f>IF(ISERROR((F42+F44)/F55),0,((F42+F44)/F55))</f>
        <v>0.11447533837698512</v>
      </c>
      <c r="G28" s="124">
        <f>IF(ISERROR((G42+G44)/G55),0,((G42+G44)/G55))</f>
        <v>8.4467436660078509E-3</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983">
        <v>0.18099999999999999</v>
      </c>
      <c r="E30" s="763">
        <v>0.20499999999999999</v>
      </c>
      <c r="F30" s="763">
        <v>0.20499999999999999</v>
      </c>
      <c r="G30" s="764">
        <v>8.8200000000000001E-2</v>
      </c>
      <c r="H30" s="763">
        <v>0.20499999999999999</v>
      </c>
    </row>
    <row r="31" spans="1:8" ht="25.5" x14ac:dyDescent="0.25">
      <c r="A31" s="126" t="s">
        <v>804</v>
      </c>
      <c r="B31" s="123" t="s">
        <v>498</v>
      </c>
      <c r="C31" s="174"/>
      <c r="D31" s="983">
        <v>0.68</v>
      </c>
      <c r="E31" s="763">
        <v>0.60299999999999998</v>
      </c>
      <c r="F31" s="763">
        <v>0.60299999999999998</v>
      </c>
      <c r="G31" s="764">
        <v>0.82079999999999997</v>
      </c>
      <c r="H31" s="763">
        <v>0.60299999999999998</v>
      </c>
    </row>
    <row r="32" spans="1:8" ht="25.5" x14ac:dyDescent="0.25">
      <c r="A32" s="277" t="s">
        <v>662</v>
      </c>
      <c r="B32" s="132" t="s">
        <v>452</v>
      </c>
      <c r="C32" s="178"/>
      <c r="D32" s="984">
        <v>2E-3</v>
      </c>
      <c r="E32" s="766">
        <v>0.1</v>
      </c>
      <c r="F32" s="766">
        <v>0.1</v>
      </c>
      <c r="G32" s="767">
        <v>1.0200000000000001E-2</v>
      </c>
      <c r="H32" s="766">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110645166</v>
      </c>
      <c r="E38" s="84">
        <f>'C6-FinPos'!D38</f>
        <v>113337810.80647588</v>
      </c>
      <c r="F38" s="84">
        <f>'C6-FinPos'!E38</f>
        <v>113337810.80647588</v>
      </c>
      <c r="G38" s="97">
        <f>'C6-FinPos'!F38</f>
        <v>0</v>
      </c>
      <c r="H38" s="48">
        <v>0</v>
      </c>
    </row>
    <row r="39" spans="1:9" ht="12.75" customHeight="1" x14ac:dyDescent="0.25">
      <c r="A39" s="42" t="s">
        <v>535</v>
      </c>
      <c r="B39" s="67"/>
      <c r="C39" s="67"/>
      <c r="D39" s="84">
        <f>'C6-FinPos'!C26</f>
        <v>2120780295</v>
      </c>
      <c r="E39" s="84">
        <f>'C6-FinPos'!D26</f>
        <v>2322246005.8527002</v>
      </c>
      <c r="F39" s="84">
        <f>'C6-FinPos'!E26</f>
        <v>2399868186.3325</v>
      </c>
      <c r="G39" s="97">
        <f>'C6-FinPos'!F26</f>
        <v>0</v>
      </c>
      <c r="H39" s="48">
        <f>'C6-FinPos'!G26</f>
        <v>2322246005.8527002</v>
      </c>
    </row>
    <row r="40" spans="1:9" ht="12.75" customHeight="1" x14ac:dyDescent="0.25">
      <c r="A40" s="42" t="str">
        <f>'C4-FinPerf RE'!A25</f>
        <v>Employee related costs</v>
      </c>
      <c r="B40" s="67"/>
      <c r="C40" s="67"/>
      <c r="D40" s="84">
        <f>'C4-FinPerf RE'!C25</f>
        <v>295232470.99999994</v>
      </c>
      <c r="E40" s="84">
        <f>'C4-FinPerf RE'!D25</f>
        <v>357557390.95999998</v>
      </c>
      <c r="F40" s="84">
        <f>'C4-FinPerf RE'!E25</f>
        <v>325483419.34999996</v>
      </c>
      <c r="G40" s="97">
        <f>'C4-FinPerf RE'!G25</f>
        <v>131396530.28000006</v>
      </c>
      <c r="H40" s="48">
        <f>'C4-FinPerf RE'!K25</f>
        <v>357557390.95999998</v>
      </c>
    </row>
    <row r="41" spans="1:9" ht="12.75" customHeight="1" x14ac:dyDescent="0.25">
      <c r="A41" s="42" t="str">
        <f>A27</f>
        <v>Repairs &amp; Maintenance</v>
      </c>
      <c r="B41" s="67"/>
      <c r="C41" s="67"/>
      <c r="D41" s="768">
        <v>42157906</v>
      </c>
      <c r="E41" s="768">
        <v>71608248.810000002</v>
      </c>
      <c r="F41" s="768">
        <v>71608248.810000002</v>
      </c>
      <c r="G41" s="768">
        <v>19007593.699999999</v>
      </c>
      <c r="H41" s="768">
        <v>71608248.810000002</v>
      </c>
    </row>
    <row r="42" spans="1:9" ht="12.75" customHeight="1" x14ac:dyDescent="0.25">
      <c r="A42" s="42" t="s">
        <v>536</v>
      </c>
      <c r="B42" s="67"/>
      <c r="C42" s="67"/>
      <c r="D42" s="84">
        <f>'C4-FinPerf RE'!C29</f>
        <v>11973760</v>
      </c>
      <c r="E42" s="84">
        <f>'C4-FinPerf RE'!D29</f>
        <v>14658314</v>
      </c>
      <c r="F42" s="84">
        <f>'C4-FinPerf RE'!E29</f>
        <v>14658314</v>
      </c>
      <c r="G42" s="97">
        <f>'C4-FinPerf RE'!G29</f>
        <v>4609050.4000000004</v>
      </c>
      <c r="H42" s="48">
        <f>'C4-FinPerf RE'!K29</f>
        <v>14658314</v>
      </c>
    </row>
    <row r="43" spans="1:9" ht="12.75" customHeight="1" x14ac:dyDescent="0.25">
      <c r="A43" s="42" t="s">
        <v>88</v>
      </c>
      <c r="B43" s="67"/>
      <c r="C43" s="67"/>
      <c r="D43" s="84">
        <f>-'C7-CFlow'!C36</f>
        <v>5636315</v>
      </c>
      <c r="E43" s="84">
        <f>-'C7-CFlow'!D36</f>
        <v>25315227.710000001</v>
      </c>
      <c r="F43" s="84">
        <f>-'C7-CFlow'!E36</f>
        <v>25315227.710000001</v>
      </c>
      <c r="G43" s="97">
        <f>-'C7-CFlow'!G36</f>
        <v>15596355.810000001</v>
      </c>
      <c r="H43" s="48">
        <f>-'C7-CFlow'!K36</f>
        <v>25315227.710000001</v>
      </c>
    </row>
    <row r="44" spans="1:9" ht="12.75" customHeight="1" x14ac:dyDescent="0.25">
      <c r="A44" s="42" t="s">
        <v>537</v>
      </c>
      <c r="B44" s="67"/>
      <c r="C44" s="67"/>
      <c r="D44" s="84">
        <f>'C4-FinPerf RE'!C28</f>
        <v>127724087</v>
      </c>
      <c r="E44" s="84">
        <f>'C4-FinPerf RE'!D28</f>
        <v>134196513</v>
      </c>
      <c r="F44" s="84">
        <f>'C4-FinPerf RE'!E28</f>
        <v>130000000</v>
      </c>
      <c r="G44" s="97"/>
      <c r="H44" s="48">
        <f>'C4-FinPerf RE'!K26</f>
        <v>28967131</v>
      </c>
    </row>
    <row r="45" spans="1:9" ht="12.75" customHeight="1" x14ac:dyDescent="0.25">
      <c r="A45" s="42" t="s">
        <v>0</v>
      </c>
      <c r="B45" s="67"/>
      <c r="C45" s="67"/>
      <c r="D45" s="84">
        <f>'C4-FinPerf RE'!C36</f>
        <v>1212344666</v>
      </c>
      <c r="E45" s="84">
        <f>'C4-FinPerf RE'!D36</f>
        <v>1313896978.96</v>
      </c>
      <c r="F45" s="84">
        <f>'C4-FinPerf RE'!E36</f>
        <v>1228545631.6199999</v>
      </c>
      <c r="G45" s="97">
        <f>'C4-FinPerf RE'!G36</f>
        <v>355379000.10000014</v>
      </c>
      <c r="H45" s="48">
        <f>'C4-FinPerf RE'!K36</f>
        <v>1313896978.96</v>
      </c>
    </row>
    <row r="46" spans="1:9" ht="12.75" customHeight="1" x14ac:dyDescent="0.25">
      <c r="A46" s="42" t="str">
        <f>'C5-Capex'!A40</f>
        <v>Total Capital Expenditure</v>
      </c>
      <c r="B46" s="67"/>
      <c r="C46" s="67"/>
      <c r="D46" s="84">
        <f>'C5-Capex'!C40</f>
        <v>103447828.51000001</v>
      </c>
      <c r="E46" s="84">
        <f>'C5-Capex'!D40</f>
        <v>142719850</v>
      </c>
      <c r="F46" s="84">
        <f>'C5-Capex'!E40</f>
        <v>142719850</v>
      </c>
      <c r="G46" s="97">
        <f>'C5-Capex'!G40</f>
        <v>49310833.030000001</v>
      </c>
      <c r="H46" s="48">
        <f>'C5-Capex'!K40</f>
        <v>142719850</v>
      </c>
    </row>
    <row r="47" spans="1:9" ht="12.75" customHeight="1" x14ac:dyDescent="0.25">
      <c r="A47" s="42" t="s">
        <v>540</v>
      </c>
      <c r="B47" s="67"/>
      <c r="C47" s="67"/>
      <c r="D47" s="84">
        <f>'C5-Capex'!C72</f>
        <v>20907460</v>
      </c>
      <c r="E47" s="84">
        <f>'C5-Capex'!D72</f>
        <v>20000000</v>
      </c>
      <c r="F47" s="84">
        <f>'C5-Capex'!E72</f>
        <v>20000000</v>
      </c>
      <c r="G47" s="97">
        <f>'C5-Capex'!G72</f>
        <v>5897483.1200000001</v>
      </c>
      <c r="H47" s="48">
        <f>'C5-Capex'!K72</f>
        <v>20000000</v>
      </c>
    </row>
    <row r="48" spans="1:9" ht="12.75" customHeight="1" x14ac:dyDescent="0.25">
      <c r="A48" s="42" t="s">
        <v>538</v>
      </c>
      <c r="B48" s="67"/>
      <c r="C48" s="67"/>
      <c r="D48" s="84">
        <f>'C6-FinPos'!C30+'C6-FinPos'!C31+'C6-FinPos'!C33+'C6-FinPos'!C38</f>
        <v>409104051</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1593544234</v>
      </c>
      <c r="E49" s="84">
        <f>'C6-FinPos'!D48</f>
        <v>1835636330.9196253</v>
      </c>
      <c r="F49" s="84">
        <f>'C6-FinPos'!E48</f>
        <v>1913258510.9196301</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110645166</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451320200</v>
      </c>
      <c r="E52" s="84">
        <f>'C6-FinPos'!D13</f>
        <v>466057613.20480001</v>
      </c>
      <c r="F52" s="84">
        <f>'C6-FinPos'!E13</f>
        <v>543679793.6846</v>
      </c>
      <c r="G52" s="97">
        <f>'C6-FinPos'!F13</f>
        <v>0</v>
      </c>
      <c r="H52" s="48">
        <f>'C6-FinPos'!G13</f>
        <v>466057613.20480001</v>
      </c>
    </row>
    <row r="53" spans="1:8" ht="12.75" customHeight="1" x14ac:dyDescent="0.25">
      <c r="A53" s="42" t="str">
        <f>'C6-FinPos'!A29</f>
        <v>Current liabilities</v>
      </c>
      <c r="B53" s="67"/>
      <c r="C53" s="67"/>
      <c r="D53" s="84">
        <f>'C6-FinPos'!C35</f>
        <v>326475562</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42033011</v>
      </c>
      <c r="E54" s="84">
        <f>'C6-FinPos'!D7+'C6-FinPos'!D8</f>
        <v>7240823</v>
      </c>
      <c r="F54" s="84">
        <f>'C6-FinPos'!E7+'C6-FinPos'!E8</f>
        <v>84863608</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1059202793.5500001</v>
      </c>
      <c r="E55" s="84">
        <f>'C4-FinPerf RE'!D22</f>
        <v>1269626457</v>
      </c>
      <c r="F55" s="84">
        <f>'C4-FinPerf RE'!E22</f>
        <v>1263663563.27</v>
      </c>
      <c r="G55" s="97">
        <f>'C4-FinPerf RE'!G22</f>
        <v>545660029.74000001</v>
      </c>
      <c r="H55" s="48">
        <f>'C4-FinPerf RE'!K22</f>
        <v>1269626457</v>
      </c>
    </row>
    <row r="56" spans="1:8" ht="12.75" customHeight="1" x14ac:dyDescent="0.25">
      <c r="A56" s="42" t="str">
        <f>'C4-FinPerf RE'!A19</f>
        <v>Transfers and subsidies</v>
      </c>
      <c r="B56" s="67"/>
      <c r="C56" s="67"/>
      <c r="D56" s="84">
        <f>'C4-FinPerf RE'!C19</f>
        <v>356544299.81</v>
      </c>
      <c r="E56" s="84">
        <f>'C4-FinPerf RE'!D19</f>
        <v>416300150</v>
      </c>
      <c r="F56" s="84">
        <f>'C4-FinPerf RE'!E19</f>
        <v>417337256.26999998</v>
      </c>
      <c r="G56" s="97">
        <f>'C4-FinPerf RE'!G19</f>
        <v>178043000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76150621.189999998</v>
      </c>
      <c r="E57" s="84">
        <f>'C4-FinPerf RE'!D39</f>
        <v>89549850</v>
      </c>
      <c r="F57" s="84">
        <f>'C4-FinPerf RE'!E39</f>
        <v>89549850</v>
      </c>
      <c r="G57" s="97">
        <f>'C4-FinPerf RE'!G39</f>
        <v>63718000</v>
      </c>
      <c r="H57" s="48">
        <f>'C4-FinPerf RE'!K39</f>
        <v>89549850</v>
      </c>
    </row>
    <row r="58" spans="1:8" ht="12.75" customHeight="1" x14ac:dyDescent="0.25">
      <c r="A58" s="42" t="s">
        <v>453</v>
      </c>
      <c r="B58" s="67"/>
      <c r="C58" s="67"/>
      <c r="D58" s="84">
        <f>'C7-CFlow'!C12+'C7-CFlow'!C36</f>
        <v>3979499</v>
      </c>
      <c r="E58" s="84">
        <f>'C7-CFlow'!D12+'C7-CFlow'!D36</f>
        <v>-10404527.710000001</v>
      </c>
      <c r="F58" s="84">
        <f>'C7-CFlow'!E12+'C7-CFlow'!E36</f>
        <v>-10404527.710000001</v>
      </c>
      <c r="G58" s="97">
        <f>'C7-CFlow'!G16+'C7-CFlow'!G36</f>
        <v>-17952849.80910936</v>
      </c>
      <c r="H58" s="48">
        <f>'C7-CFlow'!K16+'C7-CFlow'!K36</f>
        <v>-39973541.710000001</v>
      </c>
    </row>
    <row r="59" spans="1:8" ht="12.75" customHeight="1" x14ac:dyDescent="0.25">
      <c r="A59" s="42" t="s">
        <v>534</v>
      </c>
      <c r="B59" s="67"/>
      <c r="C59" s="67"/>
      <c r="D59" s="84">
        <f>'C6-FinPos'!C9+'C6-FinPos'!C10+'C6-FinPos'!C11+'C6-FinPos'!C16</f>
        <v>391124854</v>
      </c>
      <c r="E59" s="84">
        <f>'C6-FinPos'!D9+'C6-FinPos'!D10+'C6-FinPos'!D11+'C6-FinPos'!D16</f>
        <v>437688017.1548</v>
      </c>
      <c r="F59" s="84">
        <f>'C6-FinPos'!E9+'C6-FinPos'!E10+'C6-FinPos'!E11+'C6-FinPos'!E16</f>
        <v>437687412.63460004</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482916172.95999998</v>
      </c>
      <c r="E60" s="84">
        <f>SUM('C4-FinPerf RE'!D7:D11)</f>
        <v>611052657</v>
      </c>
      <c r="F60" s="84">
        <f>SUM('C4-FinPerf RE'!E7:E11)</f>
        <v>604052657</v>
      </c>
      <c r="G60" s="97">
        <f>SUM('C4-FinPerf RE'!G7:G11)</f>
        <v>270796085.45999998</v>
      </c>
      <c r="H60" s="48"/>
    </row>
    <row r="61" spans="1:8" ht="12.75" customHeight="1" x14ac:dyDescent="0.25">
      <c r="A61" s="42" t="s">
        <v>455</v>
      </c>
      <c r="B61" s="67" t="s">
        <v>456</v>
      </c>
      <c r="C61" s="67"/>
      <c r="D61" s="84">
        <f>'C6-FinPos'!C7+'C6-FinPos'!C8+'C6-FinPos'!C17-'C6-FinPos'!C30</f>
        <v>73558094</v>
      </c>
      <c r="E61" s="84">
        <f>'C6-FinPos'!D7+'C6-FinPos'!D8+'C6-FinPos'!D17-'C6-FinPos'!D30</f>
        <v>41119446.323100001</v>
      </c>
      <c r="F61" s="84">
        <f>'C6-FinPos'!E7+'C6-FinPos'!E8+'C6-FinPos'!E17-'C6-FinPos'!E30</f>
        <v>118742231.3231</v>
      </c>
      <c r="G61" s="97">
        <f>'C6-FinPos'!F7+'C6-FinPos'!F8+'C6-FinPos'!F17-'C6-FinPos'!F30</f>
        <v>0</v>
      </c>
      <c r="H61" s="48">
        <f>'C6-FinPos'!G7+'C6-FinPos'!G8+'C6-FinPos'!G17-'C6-FinPos'!G30</f>
        <v>41119446.323100001</v>
      </c>
    </row>
    <row r="62" spans="1:8" ht="12.75" customHeight="1" x14ac:dyDescent="0.25">
      <c r="A62" s="42" t="s">
        <v>736</v>
      </c>
      <c r="B62" s="67"/>
      <c r="C62" s="67"/>
      <c r="D62" s="768"/>
      <c r="E62" s="768"/>
      <c r="F62" s="768"/>
      <c r="G62" s="768"/>
      <c r="H62" s="769"/>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0"/>
      <c r="E64" s="770"/>
      <c r="F64" s="770"/>
      <c r="G64" s="770"/>
      <c r="H64" s="771"/>
    </row>
    <row r="65" spans="1:8" ht="12.75" customHeight="1" x14ac:dyDescent="0.25">
      <c r="A65" s="91" t="s">
        <v>792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10" activePane="bottomRight" state="frozen"/>
      <selection pane="topRight"/>
      <selection pane="bottomLeft"/>
      <selection pane="bottomRight" activeCell="H11" sqref="H11"/>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5" t="str">
        <f>muni&amp; " - "&amp;S71I&amp; " - "&amp;Head57</f>
        <v>LIM333 Greater Tzaneen - Supporting Table SC3 Monthly Budget Statement - aged debtors - M05 November</v>
      </c>
      <c r="B1" s="1035"/>
      <c r="C1" s="1042"/>
      <c r="D1" s="1042"/>
      <c r="E1" s="1042"/>
      <c r="F1" s="1042"/>
      <c r="G1" s="1042"/>
      <c r="H1" s="1042"/>
      <c r="I1" s="1042"/>
      <c r="J1" s="1042"/>
      <c r="K1" s="1042"/>
      <c r="L1" s="1042"/>
      <c r="M1" s="1042"/>
      <c r="N1" s="162"/>
      <c r="O1" s="406"/>
    </row>
    <row r="2" spans="1:16" ht="13.35" customHeight="1" x14ac:dyDescent="0.25">
      <c r="A2" s="355" t="str">
        <f>desc</f>
        <v>Description</v>
      </c>
      <c r="B2" s="895"/>
      <c r="C2" s="1043" t="str">
        <f>Head2</f>
        <v>Budget Year 2019/20</v>
      </c>
      <c r="D2" s="1044"/>
      <c r="E2" s="1044"/>
      <c r="F2" s="1044"/>
      <c r="G2" s="1044"/>
      <c r="H2" s="1044"/>
      <c r="I2" s="1044"/>
      <c r="J2" s="1044"/>
      <c r="K2" s="1044"/>
      <c r="L2" s="1044"/>
      <c r="M2" s="1044"/>
      <c r="N2" s="1045"/>
      <c r="O2" s="913"/>
    </row>
    <row r="3" spans="1:16" ht="52.5" customHeight="1" x14ac:dyDescent="0.25">
      <c r="A3" s="902" t="s">
        <v>676</v>
      </c>
      <c r="B3" s="894" t="s">
        <v>745</v>
      </c>
      <c r="C3" s="898" t="s">
        <v>13</v>
      </c>
      <c r="D3" s="899" t="s">
        <v>14</v>
      </c>
      <c r="E3" s="899" t="s">
        <v>15</v>
      </c>
      <c r="F3" s="899" t="s">
        <v>16</v>
      </c>
      <c r="G3" s="899" t="s">
        <v>17</v>
      </c>
      <c r="H3" s="899" t="s">
        <v>18</v>
      </c>
      <c r="I3" s="899" t="s">
        <v>19</v>
      </c>
      <c r="J3" s="900" t="s">
        <v>20</v>
      </c>
      <c r="K3" s="901" t="s">
        <v>56</v>
      </c>
      <c r="L3" s="901" t="s">
        <v>1109</v>
      </c>
      <c r="M3" s="901" t="s">
        <v>1110</v>
      </c>
      <c r="N3" s="901"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4"/>
    </row>
    <row r="6" spans="1:16" ht="12.75" customHeight="1" x14ac:dyDescent="0.25">
      <c r="A6" s="39" t="s">
        <v>1088</v>
      </c>
      <c r="B6" s="169">
        <v>1300</v>
      </c>
      <c r="C6" s="734">
        <v>45389361.030000001</v>
      </c>
      <c r="D6" s="734">
        <v>19361543</v>
      </c>
      <c r="E6" s="734">
        <v>8396185.4000000004</v>
      </c>
      <c r="F6" s="734">
        <v>6280504.5800000001</v>
      </c>
      <c r="G6" s="734">
        <v>145287894.44999999</v>
      </c>
      <c r="H6" s="734"/>
      <c r="I6" s="734"/>
      <c r="J6" s="745"/>
      <c r="K6" s="134">
        <f>SUM(C6:J6)</f>
        <v>224715488.45999998</v>
      </c>
      <c r="L6" s="134">
        <f t="shared" ref="L6:L12" si="0">SUM(F6:J6)</f>
        <v>151568399.03</v>
      </c>
      <c r="M6" s="748"/>
      <c r="N6" s="748"/>
      <c r="O6" s="914"/>
    </row>
    <row r="7" spans="1:16" ht="12.75" customHeight="1" x14ac:dyDescent="0.25">
      <c r="A7" s="39" t="s">
        <v>1087</v>
      </c>
      <c r="B7" s="169">
        <v>1400</v>
      </c>
      <c r="C7" s="734">
        <v>10024500.23</v>
      </c>
      <c r="D7" s="734">
        <v>5416348.6399999997</v>
      </c>
      <c r="E7" s="734">
        <v>4538380.24</v>
      </c>
      <c r="F7" s="734">
        <v>4132089.54</v>
      </c>
      <c r="G7" s="734">
        <v>181399514.89000002</v>
      </c>
      <c r="H7" s="734"/>
      <c r="I7" s="734"/>
      <c r="J7" s="745"/>
      <c r="K7" s="134">
        <f t="shared" ref="K7:K13" si="1">SUM(C7:J7)</f>
        <v>205510833.54000002</v>
      </c>
      <c r="L7" s="134">
        <f t="shared" si="0"/>
        <v>185531604.43000001</v>
      </c>
      <c r="M7" s="748"/>
      <c r="N7" s="748"/>
      <c r="O7" s="914"/>
    </row>
    <row r="8" spans="1:16" ht="12.75" customHeight="1" x14ac:dyDescent="0.25">
      <c r="A8" s="39" t="s">
        <v>1089</v>
      </c>
      <c r="B8" s="169">
        <v>1500</v>
      </c>
      <c r="C8" s="734"/>
      <c r="D8" s="734"/>
      <c r="E8" s="734"/>
      <c r="F8" s="734"/>
      <c r="G8" s="734"/>
      <c r="H8" s="734"/>
      <c r="I8" s="734"/>
      <c r="J8" s="745"/>
      <c r="K8" s="134">
        <f t="shared" si="1"/>
        <v>0</v>
      </c>
      <c r="L8" s="134">
        <f t="shared" si="0"/>
        <v>0</v>
      </c>
      <c r="M8" s="748"/>
      <c r="N8" s="748"/>
      <c r="O8" s="914"/>
    </row>
    <row r="9" spans="1:16" ht="12.75" customHeight="1" x14ac:dyDescent="0.25">
      <c r="A9" s="39" t="s">
        <v>1090</v>
      </c>
      <c r="B9" s="169">
        <v>1600</v>
      </c>
      <c r="C9" s="734">
        <v>3844428</v>
      </c>
      <c r="D9" s="734">
        <v>2194292.37</v>
      </c>
      <c r="E9" s="734">
        <v>2419515.4500000002</v>
      </c>
      <c r="F9" s="734">
        <v>1507868.44</v>
      </c>
      <c r="G9" s="734">
        <v>77932258.799999997</v>
      </c>
      <c r="H9" s="734"/>
      <c r="I9" s="734"/>
      <c r="J9" s="745"/>
      <c r="K9" s="134">
        <f t="shared" si="1"/>
        <v>87898363.060000002</v>
      </c>
      <c r="L9" s="134">
        <f>SUM(F9:J9)</f>
        <v>79440127.239999995</v>
      </c>
      <c r="M9" s="748"/>
      <c r="N9" s="748"/>
      <c r="O9" s="914"/>
    </row>
    <row r="10" spans="1:16" ht="12.75" customHeight="1" x14ac:dyDescent="0.25">
      <c r="A10" s="39" t="s">
        <v>1091</v>
      </c>
      <c r="B10" s="169">
        <v>1700</v>
      </c>
      <c r="C10" s="734">
        <v>0</v>
      </c>
      <c r="D10" s="734">
        <v>0</v>
      </c>
      <c r="E10" s="734">
        <v>0</v>
      </c>
      <c r="F10" s="734">
        <v>0</v>
      </c>
      <c r="G10" s="734"/>
      <c r="H10" s="734"/>
      <c r="I10" s="734"/>
      <c r="J10" s="745"/>
      <c r="K10" s="134">
        <f t="shared" si="1"/>
        <v>0</v>
      </c>
      <c r="L10" s="134">
        <f>SUM(F10:J10)</f>
        <v>0</v>
      </c>
      <c r="M10" s="748"/>
      <c r="N10" s="748"/>
      <c r="O10" s="914"/>
    </row>
    <row r="11" spans="1:16" ht="12.75" customHeight="1" x14ac:dyDescent="0.25">
      <c r="A11" s="39" t="s">
        <v>1092</v>
      </c>
      <c r="B11" s="169">
        <v>1810</v>
      </c>
      <c r="C11" s="734">
        <v>0</v>
      </c>
      <c r="D11" s="734">
        <v>0</v>
      </c>
      <c r="E11" s="734">
        <v>0</v>
      </c>
      <c r="F11" s="734">
        <v>0</v>
      </c>
      <c r="G11" s="734"/>
      <c r="H11" s="734"/>
      <c r="I11" s="734"/>
      <c r="J11" s="745"/>
      <c r="K11" s="134">
        <f t="shared" si="1"/>
        <v>0</v>
      </c>
      <c r="L11" s="134">
        <f t="shared" si="0"/>
        <v>0</v>
      </c>
      <c r="M11" s="748"/>
      <c r="N11" s="748"/>
      <c r="O11" s="914"/>
      <c r="P11" s="96"/>
    </row>
    <row r="12" spans="1:16" ht="12.75" customHeight="1" x14ac:dyDescent="0.25">
      <c r="A12" s="39" t="s">
        <v>1093</v>
      </c>
      <c r="B12" s="169">
        <v>1820</v>
      </c>
      <c r="C12" s="734">
        <v>0</v>
      </c>
      <c r="D12" s="734">
        <v>0</v>
      </c>
      <c r="E12" s="734">
        <v>0</v>
      </c>
      <c r="F12" s="734">
        <v>0</v>
      </c>
      <c r="G12" s="734"/>
      <c r="H12" s="734"/>
      <c r="I12" s="734"/>
      <c r="J12" s="745"/>
      <c r="K12" s="134">
        <f t="shared" si="1"/>
        <v>0</v>
      </c>
      <c r="L12" s="134">
        <f t="shared" si="0"/>
        <v>0</v>
      </c>
      <c r="M12" s="748"/>
      <c r="N12" s="748"/>
      <c r="O12" s="914"/>
      <c r="P12" s="96"/>
    </row>
    <row r="13" spans="1:16" ht="12.75" customHeight="1" x14ac:dyDescent="0.25">
      <c r="A13" s="39" t="s">
        <v>729</v>
      </c>
      <c r="B13" s="169">
        <v>1900</v>
      </c>
      <c r="C13" s="734">
        <v>3209524.91</v>
      </c>
      <c r="D13" s="734">
        <v>3688511.3500000006</v>
      </c>
      <c r="E13" s="734">
        <v>1290959.8</v>
      </c>
      <c r="F13" s="734">
        <v>970147.81999999983</v>
      </c>
      <c r="G13" s="734">
        <v>147628229.00999999</v>
      </c>
      <c r="H13" s="734"/>
      <c r="I13" s="734"/>
      <c r="J13" s="745"/>
      <c r="K13" s="134">
        <f t="shared" si="1"/>
        <v>156787372.88999999</v>
      </c>
      <c r="L13" s="134">
        <f>SUM(F13:J13)</f>
        <v>148598376.82999998</v>
      </c>
      <c r="M13" s="748"/>
      <c r="N13" s="748"/>
      <c r="O13" s="914"/>
    </row>
    <row r="14" spans="1:16" ht="12.75" customHeight="1" x14ac:dyDescent="0.25">
      <c r="A14" s="53" t="s">
        <v>1094</v>
      </c>
      <c r="B14" s="284">
        <v>2000</v>
      </c>
      <c r="C14" s="56">
        <f t="shared" ref="C14:N14" si="2">SUM(C5:C13)</f>
        <v>62467814.170000002</v>
      </c>
      <c r="D14" s="55">
        <f t="shared" si="2"/>
        <v>30660695.360000003</v>
      </c>
      <c r="E14" s="55">
        <f t="shared" si="2"/>
        <v>16645040.890000001</v>
      </c>
      <c r="F14" s="55">
        <f t="shared" si="2"/>
        <v>12890610.380000001</v>
      </c>
      <c r="G14" s="55">
        <f t="shared" si="2"/>
        <v>552247897.1500001</v>
      </c>
      <c r="H14" s="55">
        <f t="shared" si="2"/>
        <v>0</v>
      </c>
      <c r="I14" s="55">
        <f t="shared" si="2"/>
        <v>0</v>
      </c>
      <c r="J14" s="83">
        <f t="shared" si="2"/>
        <v>0</v>
      </c>
      <c r="K14" s="112">
        <f t="shared" si="2"/>
        <v>674912057.95000005</v>
      </c>
      <c r="L14" s="112">
        <f>SUM(L5:L13)</f>
        <v>565138507.52999997</v>
      </c>
      <c r="M14" s="54">
        <f t="shared" si="2"/>
        <v>0</v>
      </c>
      <c r="N14" s="54">
        <f t="shared" si="2"/>
        <v>0</v>
      </c>
      <c r="O14" s="915"/>
    </row>
    <row r="15" spans="1:16" ht="12.75" customHeight="1" x14ac:dyDescent="0.25">
      <c r="A15" s="313" t="str">
        <f>Head1&amp;" - totals only"</f>
        <v>2018/19 - totals only</v>
      </c>
      <c r="B15" s="367"/>
      <c r="C15" s="793"/>
      <c r="D15" s="794"/>
      <c r="E15" s="794"/>
      <c r="F15" s="794"/>
      <c r="G15" s="794"/>
      <c r="H15" s="794"/>
      <c r="I15" s="794"/>
      <c r="J15" s="795"/>
      <c r="K15" s="796">
        <f>SUM(C15:J15)</f>
        <v>0</v>
      </c>
      <c r="L15" s="368">
        <f>SUM(F15:J15)</f>
        <v>0</v>
      </c>
      <c r="M15" s="795"/>
      <c r="N15" s="896"/>
      <c r="O15" s="49"/>
    </row>
    <row r="16" spans="1:16" ht="12.75" customHeight="1" x14ac:dyDescent="0.25">
      <c r="A16" s="87" t="s">
        <v>1098</v>
      </c>
      <c r="B16" s="169"/>
      <c r="C16" s="46"/>
      <c r="D16" s="44"/>
      <c r="E16" s="44"/>
      <c r="F16" s="44"/>
      <c r="G16" s="44"/>
      <c r="H16" s="44"/>
      <c r="I16" s="44"/>
      <c r="J16" s="108"/>
      <c r="K16" s="134"/>
      <c r="L16" s="646"/>
      <c r="M16" s="45"/>
      <c r="N16" s="897"/>
    </row>
    <row r="17" spans="1:14" ht="12.75" customHeight="1" x14ac:dyDescent="0.25">
      <c r="A17" s="39" t="s">
        <v>1095</v>
      </c>
      <c r="B17" s="169">
        <v>2200</v>
      </c>
      <c r="C17" s="734">
        <v>1809952.12</v>
      </c>
      <c r="D17" s="734">
        <v>1033352.97</v>
      </c>
      <c r="E17" s="734">
        <v>648889.43000000005</v>
      </c>
      <c r="F17" s="734">
        <v>354857.03</v>
      </c>
      <c r="G17" s="734">
        <v>17937531.25</v>
      </c>
      <c r="H17" s="734"/>
      <c r="I17" s="734"/>
      <c r="J17" s="745"/>
      <c r="K17" s="134">
        <f>SUM(C17:J17)</f>
        <v>21784582.800000001</v>
      </c>
      <c r="L17" s="646">
        <f>SUM(F17:J17)</f>
        <v>18292388.280000001</v>
      </c>
      <c r="M17" s="748"/>
      <c r="N17" s="749"/>
    </row>
    <row r="18" spans="1:14" ht="12.75" customHeight="1" x14ac:dyDescent="0.25">
      <c r="A18" s="39" t="s">
        <v>1096</v>
      </c>
      <c r="B18" s="169">
        <v>2300</v>
      </c>
      <c r="C18" s="734">
        <v>37093875.380000003</v>
      </c>
      <c r="D18" s="734">
        <v>14559631.359999999</v>
      </c>
      <c r="E18" s="734">
        <v>5983274.3099999996</v>
      </c>
      <c r="F18" s="734">
        <v>3902804.35</v>
      </c>
      <c r="G18" s="734">
        <v>168043943.78</v>
      </c>
      <c r="H18" s="734"/>
      <c r="I18" s="734"/>
      <c r="J18" s="745"/>
      <c r="K18" s="134">
        <f>SUM(C18:J18)</f>
        <v>229583529.18000001</v>
      </c>
      <c r="L18" s="646">
        <f>SUM(F18:J18)</f>
        <v>171946748.13</v>
      </c>
      <c r="M18" s="748"/>
      <c r="N18" s="749"/>
    </row>
    <row r="19" spans="1:14" ht="12.75" customHeight="1" x14ac:dyDescent="0.25">
      <c r="A19" s="39" t="s">
        <v>694</v>
      </c>
      <c r="B19" s="169">
        <v>2400</v>
      </c>
      <c r="C19" s="734">
        <v>19203851.57</v>
      </c>
      <c r="D19" s="734">
        <v>10239249.119999999</v>
      </c>
      <c r="E19" s="734">
        <v>7277519.9800000004</v>
      </c>
      <c r="F19" s="734">
        <v>6939932.9800000004</v>
      </c>
      <c r="G19" s="734">
        <v>318101322.91000003</v>
      </c>
      <c r="H19" s="734"/>
      <c r="I19" s="734"/>
      <c r="J19" s="745"/>
      <c r="K19" s="134">
        <f>SUM(C19:J19)</f>
        <v>361761876.56000006</v>
      </c>
      <c r="L19" s="646">
        <f>SUM(F19:J19)</f>
        <v>325041255.89000005</v>
      </c>
      <c r="M19" s="748"/>
      <c r="N19" s="749"/>
    </row>
    <row r="20" spans="1:14" ht="12.75" customHeight="1" x14ac:dyDescent="0.25">
      <c r="A20" s="39" t="s">
        <v>729</v>
      </c>
      <c r="B20" s="169">
        <v>2500</v>
      </c>
      <c r="C20" s="734">
        <v>4360135.0999999996</v>
      </c>
      <c r="D20" s="734">
        <v>4828461.91</v>
      </c>
      <c r="E20" s="734">
        <v>2735357.17</v>
      </c>
      <c r="F20" s="734">
        <v>1693016.02</v>
      </c>
      <c r="G20" s="734">
        <v>48165099.210000001</v>
      </c>
      <c r="H20" s="734"/>
      <c r="I20" s="734"/>
      <c r="J20" s="745"/>
      <c r="K20" s="134">
        <f>SUM(C20:J20)</f>
        <v>61782069.409999996</v>
      </c>
      <c r="L20" s="646">
        <f>SUM(F20:J20)</f>
        <v>49858115.230000004</v>
      </c>
      <c r="M20" s="748"/>
      <c r="N20" s="750"/>
    </row>
    <row r="21" spans="1:14" ht="12.75" customHeight="1" x14ac:dyDescent="0.25">
      <c r="A21" s="53" t="s">
        <v>1099</v>
      </c>
      <c r="B21" s="284">
        <v>2600</v>
      </c>
      <c r="C21" s="56">
        <f t="shared" ref="C21:I21" si="3">SUM(C17:C20)</f>
        <v>62467814.170000002</v>
      </c>
      <c r="D21" s="55">
        <f t="shared" si="3"/>
        <v>30660695.359999999</v>
      </c>
      <c r="E21" s="55">
        <f t="shared" si="3"/>
        <v>16645040.889999999</v>
      </c>
      <c r="F21" s="55">
        <f t="shared" si="3"/>
        <v>12890610.379999999</v>
      </c>
      <c r="G21" s="55">
        <f t="shared" si="3"/>
        <v>552247897.1500001</v>
      </c>
      <c r="H21" s="55">
        <f t="shared" si="3"/>
        <v>0</v>
      </c>
      <c r="I21" s="55">
        <f t="shared" si="3"/>
        <v>0</v>
      </c>
      <c r="J21" s="83">
        <f>SUM(J17:J20)</f>
        <v>0</v>
      </c>
      <c r="K21" s="112">
        <f>SUM(K17:K20)</f>
        <v>674912057.95000005</v>
      </c>
      <c r="L21" s="916">
        <f>SUM(L17:L20)</f>
        <v>565138507.53000009</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F13" sqref="F13"/>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5" t="str">
        <f>muni&amp; " - "&amp;S71J&amp; " - "&amp;Head57</f>
        <v>LIM333 Greater Tzaneen - Supporting Table SC4 Monthly Budget Statement - aged creditors  - M05 November</v>
      </c>
      <c r="B1" s="1035"/>
      <c r="C1" s="1035"/>
      <c r="D1" s="1035"/>
      <c r="E1" s="1035"/>
      <c r="F1" s="1035"/>
      <c r="G1" s="1035"/>
      <c r="H1" s="1035"/>
      <c r="I1" s="1035"/>
      <c r="J1" s="1035"/>
      <c r="K1" s="1035"/>
    </row>
    <row r="2" spans="1:12" ht="12.75" customHeight="1" x14ac:dyDescent="0.25">
      <c r="A2" s="1024" t="str">
        <f>desc</f>
        <v>Description</v>
      </c>
      <c r="B2" s="1046" t="s">
        <v>745</v>
      </c>
      <c r="C2" s="137" t="str">
        <f>Head2</f>
        <v>Budget Year 2019/20</v>
      </c>
      <c r="D2" s="137"/>
      <c r="E2" s="137"/>
      <c r="F2" s="137"/>
      <c r="G2" s="137"/>
      <c r="H2" s="137"/>
      <c r="I2" s="137"/>
      <c r="J2" s="137"/>
      <c r="K2" s="138"/>
      <c r="L2" s="1053" t="s">
        <v>78</v>
      </c>
    </row>
    <row r="3" spans="1:12" ht="12.75" customHeight="1" x14ac:dyDescent="0.25">
      <c r="A3" s="1059"/>
      <c r="B3" s="1047"/>
      <c r="C3" s="1049" t="s">
        <v>737</v>
      </c>
      <c r="D3" s="1051" t="s">
        <v>738</v>
      </c>
      <c r="E3" s="1051" t="s">
        <v>739</v>
      </c>
      <c r="F3" s="1051" t="s">
        <v>740</v>
      </c>
      <c r="G3" s="1051" t="s">
        <v>741</v>
      </c>
      <c r="H3" s="1051" t="s">
        <v>742</v>
      </c>
      <c r="I3" s="1051" t="s">
        <v>743</v>
      </c>
      <c r="J3" s="1056" t="s">
        <v>744</v>
      </c>
      <c r="K3" s="1058" t="s">
        <v>513</v>
      </c>
      <c r="L3" s="1054"/>
    </row>
    <row r="4" spans="1:12" ht="12.75" customHeight="1" x14ac:dyDescent="0.25">
      <c r="A4" s="34" t="s">
        <v>676</v>
      </c>
      <c r="B4" s="1048"/>
      <c r="C4" s="1050"/>
      <c r="D4" s="1052"/>
      <c r="E4" s="1052"/>
      <c r="F4" s="1052"/>
      <c r="G4" s="1052"/>
      <c r="H4" s="1052"/>
      <c r="I4" s="1052"/>
      <c r="J4" s="1057"/>
      <c r="K4" s="1048"/>
      <c r="L4" s="1055"/>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1855410</v>
      </c>
      <c r="D12" s="734">
        <v>162097</v>
      </c>
      <c r="E12" s="734"/>
      <c r="F12" s="734">
        <v>957284</v>
      </c>
      <c r="G12" s="734"/>
      <c r="H12" s="734"/>
      <c r="I12" s="734"/>
      <c r="J12" s="736"/>
      <c r="K12" s="109">
        <f t="shared" si="0"/>
        <v>2974791</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1855410</v>
      </c>
      <c r="D15" s="55">
        <f t="shared" ref="D15:J15" si="1">SUM(D6:D14)</f>
        <v>162097</v>
      </c>
      <c r="E15" s="55">
        <f t="shared" si="1"/>
        <v>0</v>
      </c>
      <c r="F15" s="55">
        <f t="shared" si="1"/>
        <v>957284</v>
      </c>
      <c r="G15" s="55">
        <f t="shared" si="1"/>
        <v>0</v>
      </c>
      <c r="H15" s="55">
        <f t="shared" si="1"/>
        <v>0</v>
      </c>
      <c r="I15" s="55">
        <f t="shared" si="1"/>
        <v>0</v>
      </c>
      <c r="J15" s="235">
        <f t="shared" si="1"/>
        <v>0</v>
      </c>
      <c r="K15" s="112">
        <f>SUM(K6:K14)</f>
        <v>2974791</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4" activePane="bottomRight" state="frozen"/>
      <selection pane="topRight"/>
      <selection pane="bottomLeft"/>
      <selection pane="bottomRight" activeCell="M16" sqref="M1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5" t="str">
        <f>muni&amp; " - "&amp;S71K&amp; " - "&amp;Head57</f>
        <v>LIM333 Greater Tzaneen - Supporting Table SC5 Monthly Budget Statement - investment portfolio  - M05 November</v>
      </c>
      <c r="B1" s="1035"/>
      <c r="C1" s="1035"/>
      <c r="D1" s="1035"/>
      <c r="E1" s="1035"/>
      <c r="F1" s="1035"/>
      <c r="G1" s="1035"/>
      <c r="H1" s="1035"/>
      <c r="I1" s="1035"/>
      <c r="J1" s="1035"/>
      <c r="K1" s="67"/>
    </row>
    <row r="2" spans="1:15" ht="54" customHeight="1" x14ac:dyDescent="0.25">
      <c r="A2" s="270" t="s">
        <v>908</v>
      </c>
      <c r="B2" s="1046" t="s">
        <v>579</v>
      </c>
      <c r="C2" s="26" t="s">
        <v>130</v>
      </c>
      <c r="D2" s="1062" t="s">
        <v>616</v>
      </c>
      <c r="E2" s="950" t="s">
        <v>1365</v>
      </c>
      <c r="F2" s="950" t="s">
        <v>1366</v>
      </c>
      <c r="G2" s="950" t="s">
        <v>1367</v>
      </c>
      <c r="H2" s="950" t="s">
        <v>1368</v>
      </c>
      <c r="I2" s="950" t="s">
        <v>1369</v>
      </c>
      <c r="J2" s="1064" t="s">
        <v>617</v>
      </c>
      <c r="K2" s="149" t="s">
        <v>1370</v>
      </c>
      <c r="L2" s="142" t="s">
        <v>1371</v>
      </c>
      <c r="M2" s="26" t="s">
        <v>1372</v>
      </c>
      <c r="N2" s="26" t="s">
        <v>1373</v>
      </c>
      <c r="O2" s="142" t="s">
        <v>1374</v>
      </c>
    </row>
    <row r="3" spans="1:15" ht="12.75" customHeight="1" x14ac:dyDescent="0.25">
      <c r="A3" s="34" t="s">
        <v>676</v>
      </c>
      <c r="B3" s="1048"/>
      <c r="C3" s="413" t="s">
        <v>131</v>
      </c>
      <c r="D3" s="1063"/>
      <c r="E3" s="951"/>
      <c r="F3" s="951"/>
      <c r="G3" s="951"/>
      <c r="H3" s="951"/>
      <c r="I3" s="951"/>
      <c r="J3" s="1057"/>
      <c r="K3" s="1060"/>
      <c r="L3" s="1060"/>
      <c r="M3" s="1060"/>
      <c r="N3" s="1060"/>
      <c r="O3" s="1061"/>
    </row>
    <row r="4" spans="1:15" ht="12.75" customHeight="1" x14ac:dyDescent="0.25">
      <c r="A4" s="550" t="s">
        <v>345</v>
      </c>
      <c r="B4" s="171"/>
      <c r="C4" s="552"/>
      <c r="D4" s="535"/>
      <c r="E4" s="535"/>
      <c r="F4" s="535"/>
      <c r="G4" s="535"/>
      <c r="H4" s="535"/>
      <c r="I4" s="535"/>
      <c r="J4" s="536"/>
      <c r="O4" s="184"/>
    </row>
    <row r="5" spans="1:15" ht="12.75" customHeight="1" x14ac:dyDescent="0.25">
      <c r="A5" s="775" t="s">
        <v>1564</v>
      </c>
      <c r="B5" s="169"/>
      <c r="C5" s="952" t="s">
        <v>1566</v>
      </c>
      <c r="D5" s="953" t="s">
        <v>1565</v>
      </c>
      <c r="E5" s="953" t="s">
        <v>578</v>
      </c>
      <c r="F5" s="953" t="s">
        <v>1567</v>
      </c>
      <c r="G5" s="953"/>
      <c r="H5" s="953">
        <v>0</v>
      </c>
      <c r="I5" s="953" t="s">
        <v>1568</v>
      </c>
      <c r="J5" s="954"/>
      <c r="K5" s="955">
        <v>279169</v>
      </c>
      <c r="L5" s="956"/>
      <c r="M5" s="957"/>
      <c r="N5" s="957"/>
      <c r="O5" s="958">
        <f t="shared" ref="O5:O11" si="0">SUM(K5:N5)</f>
        <v>279169</v>
      </c>
    </row>
    <row r="6" spans="1:15" ht="12.75" customHeight="1" x14ac:dyDescent="0.25">
      <c r="A6" s="775" t="s">
        <v>1569</v>
      </c>
      <c r="B6" s="169"/>
      <c r="C6" s="952" t="s">
        <v>1570</v>
      </c>
      <c r="D6" s="953"/>
      <c r="E6" s="953" t="s">
        <v>578</v>
      </c>
      <c r="F6" s="953" t="s">
        <v>1567</v>
      </c>
      <c r="G6" s="953">
        <v>16.41</v>
      </c>
      <c r="H6" s="953">
        <v>0</v>
      </c>
      <c r="I6" s="953" t="s">
        <v>1568</v>
      </c>
      <c r="J6" s="954"/>
      <c r="K6" s="955">
        <v>17388103</v>
      </c>
      <c r="L6" s="956"/>
      <c r="M6" s="957"/>
      <c r="N6" s="957"/>
      <c r="O6" s="958">
        <f t="shared" si="0"/>
        <v>17388103</v>
      </c>
    </row>
    <row r="7" spans="1:15" ht="12.75" customHeight="1" x14ac:dyDescent="0.25">
      <c r="A7" s="775"/>
      <c r="B7" s="169"/>
      <c r="C7" s="952"/>
      <c r="D7" s="953"/>
      <c r="E7" s="953"/>
      <c r="F7" s="953"/>
      <c r="G7" s="953"/>
      <c r="H7" s="953"/>
      <c r="I7" s="953"/>
      <c r="J7" s="954"/>
      <c r="K7" s="955"/>
      <c r="L7" s="956"/>
      <c r="M7" s="957"/>
      <c r="N7" s="957"/>
      <c r="O7" s="958">
        <f t="shared" si="0"/>
        <v>0</v>
      </c>
    </row>
    <row r="8" spans="1:15" ht="12.75" customHeight="1" x14ac:dyDescent="0.25">
      <c r="A8" s="775"/>
      <c r="B8" s="169"/>
      <c r="C8" s="952"/>
      <c r="D8" s="953"/>
      <c r="E8" s="953"/>
      <c r="F8" s="953"/>
      <c r="G8" s="953"/>
      <c r="H8" s="953"/>
      <c r="I8" s="953"/>
      <c r="J8" s="954"/>
      <c r="K8" s="955"/>
      <c r="L8" s="956"/>
      <c r="M8" s="957"/>
      <c r="N8" s="957"/>
      <c r="O8" s="958">
        <f t="shared" si="0"/>
        <v>0</v>
      </c>
    </row>
    <row r="9" spans="1:15" ht="12.75" customHeight="1" x14ac:dyDescent="0.25">
      <c r="A9" s="775"/>
      <c r="B9" s="169"/>
      <c r="C9" s="952"/>
      <c r="D9" s="953"/>
      <c r="E9" s="953"/>
      <c r="F9" s="953"/>
      <c r="G9" s="953"/>
      <c r="H9" s="953"/>
      <c r="I9" s="953"/>
      <c r="J9" s="954"/>
      <c r="K9" s="955"/>
      <c r="L9" s="956"/>
      <c r="M9" s="957"/>
      <c r="N9" s="957"/>
      <c r="O9" s="958">
        <f t="shared" si="0"/>
        <v>0</v>
      </c>
    </row>
    <row r="10" spans="1:15" ht="12.75" customHeight="1" x14ac:dyDescent="0.25">
      <c r="A10" s="775"/>
      <c r="B10" s="169"/>
      <c r="C10" s="952"/>
      <c r="D10" s="953"/>
      <c r="E10" s="953"/>
      <c r="F10" s="953"/>
      <c r="G10" s="953"/>
      <c r="H10" s="953"/>
      <c r="I10" s="953"/>
      <c r="J10" s="954"/>
      <c r="K10" s="955"/>
      <c r="L10" s="956"/>
      <c r="M10" s="957"/>
      <c r="N10" s="957"/>
      <c r="O10" s="958">
        <f t="shared" si="0"/>
        <v>0</v>
      </c>
    </row>
    <row r="11" spans="1:15" ht="12.75" customHeight="1" x14ac:dyDescent="0.25">
      <c r="A11" s="775"/>
      <c r="B11" s="169"/>
      <c r="C11" s="952"/>
      <c r="D11" s="953"/>
      <c r="E11" s="953"/>
      <c r="F11" s="953"/>
      <c r="G11" s="953"/>
      <c r="H11" s="953"/>
      <c r="I11" s="953"/>
      <c r="J11" s="954"/>
      <c r="K11" s="955"/>
      <c r="L11" s="956"/>
      <c r="M11" s="957"/>
      <c r="N11" s="957"/>
      <c r="O11" s="958">
        <f t="shared" si="0"/>
        <v>0</v>
      </c>
    </row>
    <row r="12" spans="1:15" ht="12.75" customHeight="1" x14ac:dyDescent="0.25">
      <c r="A12" s="548" t="s">
        <v>132</v>
      </c>
      <c r="B12" s="169"/>
      <c r="C12" s="971"/>
      <c r="D12" s="959"/>
      <c r="E12" s="959"/>
      <c r="F12" s="959"/>
      <c r="G12" s="959"/>
      <c r="H12" s="959"/>
      <c r="I12" s="959"/>
      <c r="J12" s="960"/>
      <c r="K12" s="961">
        <f>SUM(K5:K11)</f>
        <v>17667272</v>
      </c>
      <c r="L12" s="962"/>
      <c r="M12" s="963">
        <f>SUM(M5:M11)</f>
        <v>0</v>
      </c>
      <c r="N12" s="963">
        <f>SUM(N5:N11)</f>
        <v>0</v>
      </c>
      <c r="O12" s="964">
        <f>SUM(O5:O11)</f>
        <v>17667272</v>
      </c>
    </row>
    <row r="13" spans="1:15" ht="3.75" customHeight="1" x14ac:dyDescent="0.25">
      <c r="A13" s="549"/>
      <c r="B13" s="169"/>
      <c r="C13" s="605"/>
      <c r="D13" s="965"/>
      <c r="E13" s="965"/>
      <c r="F13" s="965"/>
      <c r="G13" s="965"/>
      <c r="H13" s="965"/>
      <c r="I13" s="965"/>
      <c r="J13" s="966"/>
      <c r="K13" s="967"/>
      <c r="L13" s="968"/>
      <c r="M13" s="969"/>
      <c r="N13" s="969"/>
      <c r="O13" s="970"/>
    </row>
    <row r="14" spans="1:15" ht="12.75" customHeight="1" x14ac:dyDescent="0.25">
      <c r="A14" s="550" t="s">
        <v>133</v>
      </c>
      <c r="B14" s="169"/>
      <c r="C14" s="605"/>
      <c r="D14" s="965"/>
      <c r="E14" s="965"/>
      <c r="F14" s="965"/>
      <c r="G14" s="965"/>
      <c r="H14" s="965"/>
      <c r="I14" s="965"/>
      <c r="J14" s="966"/>
      <c r="K14" s="967"/>
      <c r="L14" s="968"/>
      <c r="M14" s="969"/>
      <c r="N14" s="969"/>
      <c r="O14" s="970"/>
    </row>
    <row r="15" spans="1:15" ht="12.75" customHeight="1" x14ac:dyDescent="0.25">
      <c r="A15" s="776"/>
      <c r="B15" s="169"/>
      <c r="C15" s="952"/>
      <c r="D15" s="953"/>
      <c r="E15" s="953"/>
      <c r="F15" s="953"/>
      <c r="G15" s="953"/>
      <c r="H15" s="953"/>
      <c r="I15" s="953"/>
      <c r="J15" s="954"/>
      <c r="K15" s="955"/>
      <c r="L15" s="956"/>
      <c r="M15" s="957"/>
      <c r="N15" s="957"/>
      <c r="O15" s="958">
        <f t="shared" ref="O15:O21" si="1">SUM(K15:N15)</f>
        <v>0</v>
      </c>
    </row>
    <row r="16" spans="1:15" ht="12.75" customHeight="1" x14ac:dyDescent="0.25">
      <c r="A16" s="776"/>
      <c r="B16" s="169"/>
      <c r="C16" s="952"/>
      <c r="D16" s="953"/>
      <c r="E16" s="953"/>
      <c r="F16" s="953"/>
      <c r="G16" s="953"/>
      <c r="H16" s="953"/>
      <c r="I16" s="953"/>
      <c r="J16" s="954"/>
      <c r="K16" s="955"/>
      <c r="L16" s="956"/>
      <c r="M16" s="957"/>
      <c r="N16" s="957"/>
      <c r="O16" s="958">
        <f t="shared" si="1"/>
        <v>0</v>
      </c>
    </row>
    <row r="17" spans="1:16" ht="12.75" customHeight="1" x14ac:dyDescent="0.25">
      <c r="A17" s="776"/>
      <c r="B17" s="169"/>
      <c r="C17" s="952"/>
      <c r="D17" s="953"/>
      <c r="E17" s="953"/>
      <c r="F17" s="953"/>
      <c r="G17" s="953"/>
      <c r="H17" s="953"/>
      <c r="I17" s="953"/>
      <c r="J17" s="954"/>
      <c r="K17" s="955"/>
      <c r="L17" s="956"/>
      <c r="M17" s="957"/>
      <c r="N17" s="957"/>
      <c r="O17" s="958">
        <f t="shared" si="1"/>
        <v>0</v>
      </c>
    </row>
    <row r="18" spans="1:16" ht="12.75" customHeight="1" x14ac:dyDescent="0.25">
      <c r="A18" s="776"/>
      <c r="B18" s="169"/>
      <c r="C18" s="952"/>
      <c r="D18" s="953"/>
      <c r="E18" s="953"/>
      <c r="F18" s="953"/>
      <c r="G18" s="953"/>
      <c r="H18" s="953"/>
      <c r="I18" s="953"/>
      <c r="J18" s="954"/>
      <c r="K18" s="955"/>
      <c r="L18" s="956"/>
      <c r="M18" s="957"/>
      <c r="N18" s="957"/>
      <c r="O18" s="958">
        <f t="shared" si="1"/>
        <v>0</v>
      </c>
    </row>
    <row r="19" spans="1:16" ht="12.75" customHeight="1" x14ac:dyDescent="0.25">
      <c r="A19" s="776"/>
      <c r="B19" s="169"/>
      <c r="C19" s="952"/>
      <c r="D19" s="953"/>
      <c r="E19" s="953"/>
      <c r="F19" s="953"/>
      <c r="G19" s="953"/>
      <c r="H19" s="953"/>
      <c r="I19" s="953"/>
      <c r="J19" s="954"/>
      <c r="K19" s="955"/>
      <c r="L19" s="956"/>
      <c r="M19" s="957"/>
      <c r="N19" s="957"/>
      <c r="O19" s="958">
        <f t="shared" si="1"/>
        <v>0</v>
      </c>
    </row>
    <row r="20" spans="1:16" ht="12.75" customHeight="1" x14ac:dyDescent="0.25">
      <c r="A20" s="776"/>
      <c r="B20" s="169"/>
      <c r="C20" s="952"/>
      <c r="D20" s="953"/>
      <c r="E20" s="953"/>
      <c r="F20" s="953"/>
      <c r="G20" s="953"/>
      <c r="H20" s="953"/>
      <c r="I20" s="953"/>
      <c r="J20" s="954"/>
      <c r="K20" s="955"/>
      <c r="L20" s="956"/>
      <c r="M20" s="957"/>
      <c r="N20" s="957"/>
      <c r="O20" s="958">
        <f t="shared" si="1"/>
        <v>0</v>
      </c>
    </row>
    <row r="21" spans="1:16" ht="12.75" customHeight="1" x14ac:dyDescent="0.25">
      <c r="A21" s="776"/>
      <c r="B21" s="169"/>
      <c r="C21" s="952"/>
      <c r="D21" s="953"/>
      <c r="E21" s="953"/>
      <c r="F21" s="953"/>
      <c r="G21" s="953"/>
      <c r="H21" s="953"/>
      <c r="I21" s="953"/>
      <c r="J21" s="954"/>
      <c r="K21" s="955"/>
      <c r="L21" s="956"/>
      <c r="M21" s="957"/>
      <c r="N21" s="957"/>
      <c r="O21" s="958">
        <f t="shared" si="1"/>
        <v>0</v>
      </c>
    </row>
    <row r="22" spans="1:16" ht="12.75" customHeight="1" x14ac:dyDescent="0.25">
      <c r="A22" s="548" t="s">
        <v>134</v>
      </c>
      <c r="B22" s="169"/>
      <c r="C22" s="971"/>
      <c r="D22" s="959"/>
      <c r="E22" s="959"/>
      <c r="F22" s="959"/>
      <c r="G22" s="959"/>
      <c r="H22" s="959"/>
      <c r="I22" s="959"/>
      <c r="J22" s="960"/>
      <c r="K22" s="961">
        <f>SUM(K15:K21)</f>
        <v>0</v>
      </c>
      <c r="L22" s="962"/>
      <c r="M22" s="963">
        <f>SUM(M15:M21)</f>
        <v>0</v>
      </c>
      <c r="N22" s="963">
        <f>SUM(N15:N21)</f>
        <v>0</v>
      </c>
      <c r="O22" s="964">
        <f>SUM(O15:O21)</f>
        <v>0</v>
      </c>
    </row>
    <row r="23" spans="1:16" ht="3.75" customHeight="1" x14ac:dyDescent="0.25">
      <c r="A23" s="549"/>
      <c r="B23" s="169"/>
      <c r="C23" s="605"/>
      <c r="D23" s="965"/>
      <c r="E23" s="965"/>
      <c r="F23" s="965"/>
      <c r="G23" s="965"/>
      <c r="H23" s="965"/>
      <c r="I23" s="965"/>
      <c r="J23" s="966"/>
      <c r="K23" s="972"/>
      <c r="L23" s="973"/>
      <c r="M23" s="974"/>
      <c r="N23" s="974"/>
      <c r="O23" s="975"/>
    </row>
    <row r="24" spans="1:16" ht="12.75" customHeight="1" x14ac:dyDescent="0.25">
      <c r="A24" s="551" t="s">
        <v>135</v>
      </c>
      <c r="B24" s="236">
        <v>2</v>
      </c>
      <c r="C24" s="976"/>
      <c r="D24" s="977"/>
      <c r="E24" s="977"/>
      <c r="F24" s="977"/>
      <c r="G24" s="977"/>
      <c r="H24" s="977"/>
      <c r="I24" s="977"/>
      <c r="J24" s="978"/>
      <c r="K24" s="979">
        <f>K12+K22</f>
        <v>17667272</v>
      </c>
      <c r="L24" s="980"/>
      <c r="M24" s="981">
        <f>M12+M22</f>
        <v>0</v>
      </c>
      <c r="N24" s="981">
        <f>N12+N22</f>
        <v>0</v>
      </c>
      <c r="O24" s="982">
        <f>O12+O22</f>
        <v>17667272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71" activePane="bottomRight" state="frozen"/>
      <selection pane="topRight"/>
      <selection pane="bottomLeft"/>
      <selection pane="bottomRight" activeCell="F15" sqref="F15"/>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"&amp;S71L&amp; " - "&amp;Head57</f>
        <v>LIM333 Greater Tzaneen - Supporting Table SC6 Monthly Budget Statement - transfers and grant receipts  - M05 November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365724690.06999999</v>
      </c>
      <c r="D8" s="51">
        <f t="shared" si="0"/>
        <v>416300150</v>
      </c>
      <c r="E8" s="50">
        <f t="shared" si="0"/>
        <v>416300150</v>
      </c>
      <c r="F8" s="50">
        <f t="shared" si="0"/>
        <v>10588000</v>
      </c>
      <c r="G8" s="50">
        <f t="shared" si="0"/>
        <v>178043000</v>
      </c>
      <c r="H8" s="50">
        <f t="shared" si="0"/>
        <v>143977000</v>
      </c>
      <c r="I8" s="50">
        <f t="shared" si="0"/>
        <v>18895000</v>
      </c>
      <c r="J8" s="343">
        <f t="shared" ref="J8:J38" si="1">IF(I8=0,"",I8/H8)</f>
        <v>0.13123623912152635</v>
      </c>
      <c r="K8" s="194">
        <f>SUM(K9:K19)</f>
        <v>416300150</v>
      </c>
    </row>
    <row r="9" spans="1:11" ht="12.75" customHeight="1" x14ac:dyDescent="0.25">
      <c r="A9" s="777" t="s">
        <v>1001</v>
      </c>
      <c r="B9" s="169"/>
      <c r="C9" s="778">
        <v>338344000</v>
      </c>
      <c r="D9" s="779">
        <v>383693000</v>
      </c>
      <c r="E9" s="779">
        <v>383693000</v>
      </c>
      <c r="F9" s="735">
        <v>0</v>
      </c>
      <c r="G9" s="735">
        <v>159872000</v>
      </c>
      <c r="H9" s="735">
        <v>140977000</v>
      </c>
      <c r="I9" s="514">
        <f t="shared" ref="I9:I19" si="2">G9-H9</f>
        <v>18895000</v>
      </c>
      <c r="J9" s="553">
        <f t="shared" si="1"/>
        <v>0.13402895507777865</v>
      </c>
      <c r="K9" s="737">
        <v>383693000</v>
      </c>
    </row>
    <row r="10" spans="1:11" ht="12.75" customHeight="1" x14ac:dyDescent="0.25">
      <c r="A10" s="777" t="s">
        <v>1003</v>
      </c>
      <c r="B10" s="169"/>
      <c r="C10" s="749">
        <v>2145000</v>
      </c>
      <c r="D10" s="746">
        <v>2145000</v>
      </c>
      <c r="E10" s="746">
        <v>2145000</v>
      </c>
      <c r="F10" s="734">
        <v>0</v>
      </c>
      <c r="G10" s="734">
        <v>2145000</v>
      </c>
      <c r="H10" s="734"/>
      <c r="I10" s="44"/>
      <c r="J10" s="124"/>
      <c r="K10" s="736">
        <v>2145000</v>
      </c>
    </row>
    <row r="11" spans="1:11" ht="12.75" customHeight="1" x14ac:dyDescent="0.25">
      <c r="A11" s="777" t="s">
        <v>575</v>
      </c>
      <c r="B11" s="169"/>
      <c r="C11" s="749"/>
      <c r="D11" s="746"/>
      <c r="E11" s="746"/>
      <c r="F11" s="734"/>
      <c r="G11" s="734"/>
      <c r="H11" s="734"/>
      <c r="I11" s="44"/>
      <c r="J11" s="124"/>
      <c r="K11" s="736"/>
    </row>
    <row r="12" spans="1:11" ht="12.75" customHeight="1" x14ac:dyDescent="0.25">
      <c r="A12" s="777" t="s">
        <v>1006</v>
      </c>
      <c r="B12" s="169"/>
      <c r="C12" s="749">
        <v>15996000</v>
      </c>
      <c r="D12" s="746">
        <v>20000000</v>
      </c>
      <c r="E12" s="746">
        <v>20000000</v>
      </c>
      <c r="F12" s="734">
        <v>8000000</v>
      </c>
      <c r="G12" s="734">
        <v>12000000</v>
      </c>
      <c r="H12" s="734">
        <v>3000000</v>
      </c>
      <c r="I12" s="44"/>
      <c r="J12" s="124"/>
      <c r="K12" s="736">
        <v>20000000</v>
      </c>
    </row>
    <row r="13" spans="1:11" ht="12.75" customHeight="1" x14ac:dyDescent="0.25">
      <c r="A13" s="777" t="s">
        <v>1010</v>
      </c>
      <c r="B13" s="169"/>
      <c r="C13" s="749">
        <v>5510000</v>
      </c>
      <c r="D13" s="746">
        <v>5749000</v>
      </c>
      <c r="E13" s="746">
        <v>5749000</v>
      </c>
      <c r="F13" s="734">
        <v>2588000</v>
      </c>
      <c r="G13" s="734">
        <v>4026000</v>
      </c>
      <c r="H13" s="734"/>
      <c r="I13" s="44"/>
      <c r="J13" s="124"/>
      <c r="K13" s="736">
        <v>5749000</v>
      </c>
    </row>
    <row r="14" spans="1:11" ht="12.75" customHeight="1" x14ac:dyDescent="0.25">
      <c r="A14" s="777" t="s">
        <v>1009</v>
      </c>
      <c r="B14" s="169">
        <v>3</v>
      </c>
      <c r="C14" s="749"/>
      <c r="D14" s="746"/>
      <c r="E14" s="746"/>
      <c r="F14" s="734"/>
      <c r="G14" s="734"/>
      <c r="H14" s="734"/>
      <c r="I14" s="44">
        <f t="shared" si="2"/>
        <v>0</v>
      </c>
      <c r="J14" s="124" t="str">
        <f t="shared" si="1"/>
        <v/>
      </c>
      <c r="K14" s="736"/>
    </row>
    <row r="15" spans="1:11" ht="12.75" customHeight="1" x14ac:dyDescent="0.25">
      <c r="A15" s="777" t="s">
        <v>1558</v>
      </c>
      <c r="B15" s="169"/>
      <c r="C15" s="749">
        <v>3729690.07</v>
      </c>
      <c r="D15" s="746">
        <v>4713150</v>
      </c>
      <c r="E15" s="746">
        <v>4713150</v>
      </c>
      <c r="F15" s="734"/>
      <c r="G15" s="734"/>
      <c r="H15" s="734"/>
      <c r="I15" s="44">
        <f t="shared" si="2"/>
        <v>0</v>
      </c>
      <c r="J15" s="124" t="str">
        <f t="shared" si="1"/>
        <v/>
      </c>
      <c r="K15" s="736">
        <v>4713150</v>
      </c>
    </row>
    <row r="16" spans="1:11" ht="12.75" customHeight="1" x14ac:dyDescent="0.25">
      <c r="A16" s="777"/>
      <c r="B16" s="169"/>
      <c r="C16" s="749"/>
      <c r="D16" s="746"/>
      <c r="E16" s="734"/>
      <c r="F16" s="734"/>
      <c r="G16" s="734"/>
      <c r="H16" s="734"/>
      <c r="I16" s="44">
        <f t="shared" si="2"/>
        <v>0</v>
      </c>
      <c r="J16" s="124" t="str">
        <f t="shared" si="1"/>
        <v/>
      </c>
      <c r="K16" s="736"/>
    </row>
    <row r="17" spans="1:11" ht="12.75" customHeight="1" x14ac:dyDescent="0.25">
      <c r="A17" s="777"/>
      <c r="B17" s="169"/>
      <c r="C17" s="749"/>
      <c r="D17" s="746"/>
      <c r="E17" s="734"/>
      <c r="F17" s="734"/>
      <c r="G17" s="734"/>
      <c r="H17" s="734"/>
      <c r="I17" s="44">
        <f t="shared" si="2"/>
        <v>0</v>
      </c>
      <c r="J17" s="124" t="str">
        <f t="shared" si="1"/>
        <v/>
      </c>
      <c r="K17" s="736"/>
    </row>
    <row r="18" spans="1:11" ht="12.75" customHeight="1" x14ac:dyDescent="0.25">
      <c r="A18" s="777"/>
      <c r="B18" s="169"/>
      <c r="C18" s="749"/>
      <c r="D18" s="746"/>
      <c r="E18" s="734"/>
      <c r="F18" s="734"/>
      <c r="G18" s="734"/>
      <c r="H18" s="734"/>
      <c r="I18" s="44">
        <f t="shared" si="2"/>
        <v>0</v>
      </c>
      <c r="J18" s="124" t="str">
        <f t="shared" si="1"/>
        <v/>
      </c>
      <c r="K18" s="736"/>
    </row>
    <row r="19" spans="1:11" ht="12.75" customHeight="1" x14ac:dyDescent="0.25">
      <c r="A19" s="777"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7"/>
      <c r="B21" s="169"/>
      <c r="C21" s="778"/>
      <c r="D21" s="779"/>
      <c r="E21" s="735"/>
      <c r="F21" s="735"/>
      <c r="G21" s="735"/>
      <c r="H21" s="735"/>
      <c r="I21" s="514">
        <f t="shared" ref="I21:I37" si="4">G21-H21</f>
        <v>0</v>
      </c>
      <c r="J21" s="553" t="str">
        <f t="shared" si="1"/>
        <v/>
      </c>
      <c r="K21" s="737"/>
    </row>
    <row r="22" spans="1:11" ht="12.75" customHeight="1" x14ac:dyDescent="0.25">
      <c r="A22" s="777"/>
      <c r="B22" s="169"/>
      <c r="C22" s="749"/>
      <c r="D22" s="746"/>
      <c r="E22" s="734"/>
      <c r="F22" s="734"/>
      <c r="G22" s="734"/>
      <c r="H22" s="734"/>
      <c r="I22" s="44"/>
      <c r="J22" s="124"/>
      <c r="K22" s="736"/>
    </row>
    <row r="23" spans="1:11" ht="12.75" customHeight="1" x14ac:dyDescent="0.25">
      <c r="A23" s="777"/>
      <c r="B23" s="169"/>
      <c r="C23" s="749"/>
      <c r="D23" s="746"/>
      <c r="E23" s="734"/>
      <c r="F23" s="734"/>
      <c r="G23" s="734"/>
      <c r="H23" s="734"/>
      <c r="I23" s="44">
        <f t="shared" si="4"/>
        <v>0</v>
      </c>
      <c r="J23" s="124" t="str">
        <f t="shared" si="1"/>
        <v/>
      </c>
      <c r="K23" s="736"/>
    </row>
    <row r="24" spans="1:11" ht="12.75" customHeight="1" x14ac:dyDescent="0.25">
      <c r="A24" s="777"/>
      <c r="B24" s="169">
        <v>4</v>
      </c>
      <c r="C24" s="749"/>
      <c r="D24" s="746"/>
      <c r="E24" s="734"/>
      <c r="F24" s="734"/>
      <c r="G24" s="734"/>
      <c r="H24" s="734"/>
      <c r="I24" s="44">
        <f t="shared" si="4"/>
        <v>0</v>
      </c>
      <c r="J24" s="124" t="str">
        <f t="shared" si="1"/>
        <v/>
      </c>
      <c r="K24" s="736"/>
    </row>
    <row r="25" spans="1:11" ht="12.75" customHeight="1" x14ac:dyDescent="0.25">
      <c r="A25" s="777"/>
      <c r="B25" s="169"/>
      <c r="C25" s="749"/>
      <c r="D25" s="746"/>
      <c r="E25" s="734"/>
      <c r="F25" s="734"/>
      <c r="G25" s="734"/>
      <c r="H25" s="734"/>
      <c r="I25" s="44">
        <f t="shared" si="4"/>
        <v>0</v>
      </c>
      <c r="J25" s="124" t="str">
        <f t="shared" si="1"/>
        <v/>
      </c>
      <c r="K25" s="736"/>
    </row>
    <row r="26" spans="1:11" ht="12.75" customHeight="1" x14ac:dyDescent="0.25">
      <c r="A26" s="777"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0" t="s">
        <v>1559</v>
      </c>
      <c r="B28" s="169"/>
      <c r="C28" s="782"/>
      <c r="D28" s="783"/>
      <c r="E28" s="738"/>
      <c r="F28" s="738"/>
      <c r="G28" s="738"/>
      <c r="H28" s="738"/>
      <c r="I28" s="514">
        <f t="shared" si="4"/>
        <v>0</v>
      </c>
      <c r="J28" s="553" t="str">
        <f t="shared" si="1"/>
        <v/>
      </c>
      <c r="K28" s="739"/>
    </row>
    <row r="29" spans="1:11" ht="12.75" customHeight="1" x14ac:dyDescent="0.25">
      <c r="A29" s="781"/>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0" t="s">
        <v>1560</v>
      </c>
      <c r="B31" s="169"/>
      <c r="C31" s="782"/>
      <c r="D31" s="783"/>
      <c r="E31" s="738"/>
      <c r="F31" s="738"/>
      <c r="G31" s="738"/>
      <c r="H31" s="738"/>
      <c r="I31" s="514">
        <f t="shared" si="4"/>
        <v>0</v>
      </c>
      <c r="J31" s="553" t="str">
        <f t="shared" si="1"/>
        <v/>
      </c>
      <c r="K31" s="739"/>
    </row>
    <row r="32" spans="1:11" ht="12.75" customHeight="1" x14ac:dyDescent="0.25">
      <c r="A32" s="784"/>
      <c r="B32" s="169"/>
      <c r="C32" s="785"/>
      <c r="D32" s="786"/>
      <c r="E32" s="787"/>
      <c r="F32" s="787"/>
      <c r="G32" s="787"/>
      <c r="H32" s="787"/>
      <c r="I32" s="44"/>
      <c r="J32" s="124"/>
      <c r="K32" s="78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1"/>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365724690.06999999</v>
      </c>
      <c r="D38" s="74">
        <f t="shared" si="7"/>
        <v>416300150</v>
      </c>
      <c r="E38" s="73">
        <f t="shared" si="7"/>
        <v>416300150</v>
      </c>
      <c r="F38" s="73">
        <f t="shared" si="7"/>
        <v>10588000</v>
      </c>
      <c r="G38" s="73">
        <f t="shared" si="7"/>
        <v>178043000</v>
      </c>
      <c r="H38" s="73">
        <f t="shared" si="7"/>
        <v>143977000</v>
      </c>
      <c r="I38" s="73">
        <f t="shared" si="7"/>
        <v>18895000</v>
      </c>
      <c r="J38" s="304">
        <f t="shared" si="1"/>
        <v>0.13123623912152635</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76150621</v>
      </c>
      <c r="D41" s="46">
        <f t="shared" si="8"/>
        <v>89549850</v>
      </c>
      <c r="E41" s="44">
        <f t="shared" si="8"/>
        <v>89549850</v>
      </c>
      <c r="F41" s="44">
        <f t="shared" si="8"/>
        <v>32482000</v>
      </c>
      <c r="G41" s="44">
        <f t="shared" si="8"/>
        <v>63718000</v>
      </c>
      <c r="H41" s="44">
        <f t="shared" si="8"/>
        <v>55389000</v>
      </c>
      <c r="I41" s="44">
        <f t="shared" si="8"/>
        <v>8329000</v>
      </c>
      <c r="J41" s="343">
        <f t="shared" ref="J41:J71" si="9">IF(I41=0,"",I41/H41)</f>
        <v>0.15037281770748703</v>
      </c>
      <c r="K41" s="144">
        <f t="shared" si="8"/>
        <v>89549850</v>
      </c>
    </row>
    <row r="42" spans="1:11" ht="12.75" customHeight="1" x14ac:dyDescent="0.25">
      <c r="A42" s="777" t="s">
        <v>1561</v>
      </c>
      <c r="B42" s="169"/>
      <c r="C42" s="778">
        <v>76150621</v>
      </c>
      <c r="D42" s="779">
        <v>89549850</v>
      </c>
      <c r="E42" s="779">
        <v>89549850</v>
      </c>
      <c r="F42" s="735">
        <v>32482000</v>
      </c>
      <c r="G42" s="735">
        <v>63718000</v>
      </c>
      <c r="H42" s="735">
        <v>55389000</v>
      </c>
      <c r="I42" s="514">
        <f t="shared" ref="I42:I51" si="10">G42-H42</f>
        <v>8329000</v>
      </c>
      <c r="J42" s="553">
        <f t="shared" si="9"/>
        <v>0.15037281770748703</v>
      </c>
      <c r="K42" s="737">
        <v>89549850</v>
      </c>
    </row>
    <row r="43" spans="1:11" ht="12.75" customHeight="1" x14ac:dyDescent="0.25">
      <c r="A43" s="777" t="s">
        <v>1016</v>
      </c>
      <c r="B43" s="169"/>
      <c r="C43" s="749"/>
      <c r="D43" s="746"/>
      <c r="E43" s="734"/>
      <c r="F43" s="734"/>
      <c r="G43" s="734"/>
      <c r="H43" s="734"/>
      <c r="I43" s="44"/>
      <c r="J43" s="124"/>
      <c r="K43" s="736"/>
    </row>
    <row r="44" spans="1:11" ht="12.75" customHeight="1" x14ac:dyDescent="0.25">
      <c r="A44" s="777"/>
      <c r="B44" s="169"/>
      <c r="C44" s="749"/>
      <c r="D44" s="746"/>
      <c r="E44" s="734"/>
      <c r="F44" s="734"/>
      <c r="G44" s="734"/>
      <c r="H44" s="734"/>
      <c r="I44" s="44"/>
      <c r="J44" s="124"/>
      <c r="K44" s="736"/>
    </row>
    <row r="45" spans="1:11" ht="12.75" customHeight="1" x14ac:dyDescent="0.25">
      <c r="A45" s="777"/>
      <c r="B45" s="169"/>
      <c r="C45" s="749"/>
      <c r="D45" s="746"/>
      <c r="E45" s="734"/>
      <c r="F45" s="734"/>
      <c r="G45" s="734"/>
      <c r="H45" s="734"/>
      <c r="I45" s="44"/>
      <c r="J45" s="124"/>
      <c r="K45" s="736"/>
    </row>
    <row r="46" spans="1:11" ht="12.75" customHeight="1" x14ac:dyDescent="0.25">
      <c r="A46" s="777"/>
      <c r="B46" s="169"/>
      <c r="C46" s="749"/>
      <c r="D46" s="746"/>
      <c r="E46" s="734"/>
      <c r="F46" s="734"/>
      <c r="G46" s="734"/>
      <c r="H46" s="734"/>
      <c r="I46" s="44"/>
      <c r="J46" s="124"/>
      <c r="K46" s="736"/>
    </row>
    <row r="47" spans="1:11" ht="12.75" customHeight="1" x14ac:dyDescent="0.25">
      <c r="A47" s="777"/>
      <c r="B47" s="169"/>
      <c r="C47" s="749"/>
      <c r="D47" s="746"/>
      <c r="E47" s="734"/>
      <c r="F47" s="734"/>
      <c r="G47" s="734"/>
      <c r="H47" s="734"/>
      <c r="I47" s="44">
        <f t="shared" si="10"/>
        <v>0</v>
      </c>
      <c r="J47" s="124" t="str">
        <f t="shared" si="9"/>
        <v/>
      </c>
      <c r="K47" s="736"/>
    </row>
    <row r="48" spans="1:11" ht="12.75" customHeight="1" x14ac:dyDescent="0.25">
      <c r="A48" s="777"/>
      <c r="B48" s="169"/>
      <c r="C48" s="749"/>
      <c r="D48" s="746"/>
      <c r="E48" s="734"/>
      <c r="F48" s="734"/>
      <c r="G48" s="734"/>
      <c r="H48" s="734"/>
      <c r="I48" s="44">
        <f t="shared" si="10"/>
        <v>0</v>
      </c>
      <c r="J48" s="124" t="str">
        <f t="shared" si="9"/>
        <v/>
      </c>
      <c r="K48" s="736"/>
    </row>
    <row r="49" spans="1:11" ht="12.75" customHeight="1" x14ac:dyDescent="0.25">
      <c r="A49" s="777"/>
      <c r="B49" s="169"/>
      <c r="C49" s="749"/>
      <c r="D49" s="746"/>
      <c r="E49" s="734"/>
      <c r="F49" s="734"/>
      <c r="G49" s="734"/>
      <c r="H49" s="734"/>
      <c r="I49" s="44">
        <f t="shared" si="10"/>
        <v>0</v>
      </c>
      <c r="J49" s="124" t="str">
        <f t="shared" si="9"/>
        <v/>
      </c>
      <c r="K49" s="736"/>
    </row>
    <row r="50" spans="1:11" ht="12.75" customHeight="1" x14ac:dyDescent="0.25">
      <c r="A50" s="777"/>
      <c r="B50" s="169"/>
      <c r="C50" s="749"/>
      <c r="D50" s="746"/>
      <c r="E50" s="734"/>
      <c r="F50" s="734"/>
      <c r="G50" s="734"/>
      <c r="H50" s="734"/>
      <c r="I50" s="44">
        <f t="shared" si="10"/>
        <v>0</v>
      </c>
      <c r="J50" s="124" t="str">
        <f t="shared" si="9"/>
        <v/>
      </c>
      <c r="K50" s="736"/>
    </row>
    <row r="51" spans="1:11" ht="12.75" customHeight="1" x14ac:dyDescent="0.25">
      <c r="A51" s="777"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0" t="s">
        <v>1562</v>
      </c>
      <c r="B53" s="169"/>
      <c r="C53" s="782"/>
      <c r="D53" s="783"/>
      <c r="E53" s="738"/>
      <c r="F53" s="738"/>
      <c r="G53" s="738"/>
      <c r="H53" s="738"/>
      <c r="I53" s="514">
        <f t="shared" si="12"/>
        <v>0</v>
      </c>
      <c r="J53" s="553" t="str">
        <f>IF(I53=0,"",I53/H53)</f>
        <v/>
      </c>
      <c r="K53" s="739"/>
    </row>
    <row r="54" spans="1:11" ht="12.75" customHeight="1" x14ac:dyDescent="0.25">
      <c r="A54" s="784"/>
      <c r="B54" s="169"/>
      <c r="C54" s="785"/>
      <c r="D54" s="786"/>
      <c r="E54" s="787"/>
      <c r="F54" s="787"/>
      <c r="G54" s="787"/>
      <c r="H54" s="787"/>
      <c r="I54" s="44"/>
      <c r="J54" s="124"/>
      <c r="K54" s="78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1"/>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0" t="s">
        <v>1559</v>
      </c>
      <c r="B60" s="169"/>
      <c r="C60" s="782"/>
      <c r="D60" s="783"/>
      <c r="E60" s="738"/>
      <c r="F60" s="738"/>
      <c r="G60" s="738"/>
      <c r="H60" s="738"/>
      <c r="I60" s="514">
        <f t="shared" si="12"/>
        <v>0</v>
      </c>
      <c r="J60" s="553" t="str">
        <f t="shared" si="9"/>
        <v/>
      </c>
      <c r="K60" s="739"/>
    </row>
    <row r="61" spans="1:11" ht="12.75" customHeight="1" x14ac:dyDescent="0.25">
      <c r="A61" s="781"/>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0" t="s">
        <v>1563</v>
      </c>
      <c r="B63" s="169"/>
      <c r="C63" s="782"/>
      <c r="D63" s="783"/>
      <c r="E63" s="738"/>
      <c r="F63" s="738"/>
      <c r="G63" s="738"/>
      <c r="H63" s="738"/>
      <c r="I63" s="514">
        <f t="shared" si="12"/>
        <v>0</v>
      </c>
      <c r="J63" s="553" t="str">
        <f>IF(I63=0,"",I63/H63)</f>
        <v/>
      </c>
      <c r="K63" s="739"/>
    </row>
    <row r="64" spans="1:11" ht="12.75" customHeight="1" x14ac:dyDescent="0.25">
      <c r="A64" s="784"/>
      <c r="B64" s="169"/>
      <c r="C64" s="785"/>
      <c r="D64" s="786"/>
      <c r="E64" s="787"/>
      <c r="F64" s="787"/>
      <c r="G64" s="787"/>
      <c r="H64" s="787"/>
      <c r="I64" s="44"/>
      <c r="J64" s="124"/>
      <c r="K64" s="78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1"/>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76150621</v>
      </c>
      <c r="D69" s="475">
        <f t="shared" ref="D69:K69" si="15">D41+D52+D59+D62</f>
        <v>89549850</v>
      </c>
      <c r="E69" s="430">
        <f t="shared" si="15"/>
        <v>89549850</v>
      </c>
      <c r="F69" s="430">
        <f t="shared" si="15"/>
        <v>32482000</v>
      </c>
      <c r="G69" s="430">
        <f t="shared" si="15"/>
        <v>63718000</v>
      </c>
      <c r="H69" s="430">
        <f t="shared" si="15"/>
        <v>55389000</v>
      </c>
      <c r="I69" s="430">
        <f t="shared" si="15"/>
        <v>8329000</v>
      </c>
      <c r="J69" s="554">
        <f t="shared" si="9"/>
        <v>0.15037281770748703</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441875311.06999999</v>
      </c>
      <c r="D71" s="305">
        <f t="shared" si="16"/>
        <v>505850000</v>
      </c>
      <c r="E71" s="306">
        <f t="shared" si="16"/>
        <v>505850000</v>
      </c>
      <c r="F71" s="306">
        <f t="shared" si="16"/>
        <v>43070000</v>
      </c>
      <c r="G71" s="306">
        <f t="shared" si="16"/>
        <v>241761000</v>
      </c>
      <c r="H71" s="306">
        <f t="shared" si="16"/>
        <v>199366000</v>
      </c>
      <c r="I71" s="306">
        <f t="shared" si="16"/>
        <v>27224000</v>
      </c>
      <c r="J71" s="307">
        <f t="shared" si="9"/>
        <v>0.13655287260616153</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38" activePane="bottomRight" state="frozen"/>
      <selection pane="topRight"/>
      <selection pane="bottomLeft"/>
      <selection pane="bottomRight" activeCell="G43" sqref="G43"/>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"&amp;S71M&amp; " - "&amp;Head57</f>
        <v>LIM333 Greater Tzaneen - Supporting Table SC7(1) Monthly Budget Statement - transfers and grant expenditure  - M05 November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359333373.06999999</v>
      </c>
      <c r="D8" s="51">
        <f t="shared" si="0"/>
        <v>416300150</v>
      </c>
      <c r="E8" s="50">
        <f t="shared" si="0"/>
        <v>416300150</v>
      </c>
      <c r="F8" s="50">
        <f t="shared" si="0"/>
        <v>2646587.4700000002</v>
      </c>
      <c r="G8" s="50">
        <f t="shared" si="0"/>
        <v>167107307.88000003</v>
      </c>
      <c r="H8" s="50">
        <f t="shared" si="0"/>
        <v>141792532.32999998</v>
      </c>
      <c r="I8" s="50">
        <f t="shared" si="0"/>
        <v>25314775.550000001</v>
      </c>
      <c r="J8" s="343">
        <f t="shared" ref="J8:J28" si="1">IF(I8=0,"",I8/H8)</f>
        <v>0.17853391242836267</v>
      </c>
      <c r="K8" s="194">
        <f>SUM(K9:K15)</f>
        <v>416300150</v>
      </c>
    </row>
    <row r="9" spans="1:11" x14ac:dyDescent="0.25">
      <c r="A9" s="396" t="str">
        <f>'SC6'!A9</f>
        <v>Local Government Equitable Share</v>
      </c>
      <c r="B9" s="169"/>
      <c r="C9" s="778">
        <v>338344000</v>
      </c>
      <c r="D9" s="779">
        <v>383693000</v>
      </c>
      <c r="E9" s="779">
        <v>383693000</v>
      </c>
      <c r="F9" s="735"/>
      <c r="G9" s="735">
        <v>159872000</v>
      </c>
      <c r="H9" s="735">
        <v>140977000</v>
      </c>
      <c r="I9" s="514">
        <f t="shared" ref="I9:I15" si="2">G9-H9</f>
        <v>18895000</v>
      </c>
      <c r="J9" s="553">
        <f t="shared" si="1"/>
        <v>0.13402895507777865</v>
      </c>
      <c r="K9" s="737">
        <v>383693000</v>
      </c>
    </row>
    <row r="10" spans="1:11" ht="12.75" customHeight="1" x14ac:dyDescent="0.25">
      <c r="A10" s="396" t="str">
        <f>'SC6'!A10</f>
        <v xml:space="preserve">Finance Management </v>
      </c>
      <c r="B10" s="169"/>
      <c r="C10" s="749">
        <v>2145000</v>
      </c>
      <c r="D10" s="746">
        <v>2145000</v>
      </c>
      <c r="E10" s="746">
        <v>2145000</v>
      </c>
      <c r="F10" s="734">
        <v>202893.96</v>
      </c>
      <c r="G10" s="734">
        <v>627388.30000000005</v>
      </c>
      <c r="H10" s="734">
        <v>112924.48000000001</v>
      </c>
      <c r="I10" s="44">
        <f t="shared" si="2"/>
        <v>514463.82000000007</v>
      </c>
      <c r="J10" s="124">
        <f t="shared" si="1"/>
        <v>4.5558219085888201</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v>9604683</v>
      </c>
      <c r="D12" s="746">
        <v>20000000</v>
      </c>
      <c r="E12" s="746">
        <v>20000000</v>
      </c>
      <c r="F12" s="734">
        <v>2074137.8</v>
      </c>
      <c r="G12" s="734">
        <v>2668352.62</v>
      </c>
      <c r="H12" s="734"/>
      <c r="I12" s="44">
        <f t="shared" si="2"/>
        <v>2668352.62</v>
      </c>
      <c r="J12" s="124" t="e">
        <f t="shared" si="1"/>
        <v>#DIV/0!</v>
      </c>
      <c r="K12" s="736">
        <v>20000000</v>
      </c>
    </row>
    <row r="13" spans="1:11" ht="12.75" customHeight="1" x14ac:dyDescent="0.25">
      <c r="A13" s="396" t="str">
        <f>'SC6'!A13</f>
        <v>EPWP Incentive</v>
      </c>
      <c r="B13" s="169"/>
      <c r="C13" s="749">
        <v>5510000</v>
      </c>
      <c r="D13" s="746">
        <v>5749000</v>
      </c>
      <c r="E13" s="746">
        <v>5749000</v>
      </c>
      <c r="F13" s="734">
        <v>0</v>
      </c>
      <c r="G13" s="734">
        <v>2080942.8</v>
      </c>
      <c r="H13" s="734"/>
      <c r="I13" s="44">
        <f t="shared" si="2"/>
        <v>2080942.8</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v>3729690.07</v>
      </c>
      <c r="D15" s="746">
        <v>4713150</v>
      </c>
      <c r="E15" s="746">
        <v>4713150</v>
      </c>
      <c r="F15" s="734">
        <v>369555.70999999996</v>
      </c>
      <c r="G15" s="734">
        <v>1858624.1599999997</v>
      </c>
      <c r="H15" s="734">
        <v>702607.85000000009</v>
      </c>
      <c r="I15" s="44">
        <f t="shared" si="2"/>
        <v>1156016.3099999996</v>
      </c>
      <c r="J15" s="124">
        <f t="shared" si="1"/>
        <v>1.6453222234849774</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8"/>
      <c r="D17" s="779"/>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2"/>
      <c r="D23" s="783"/>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2"/>
      <c r="D26" s="783"/>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359333373.06999999</v>
      </c>
      <c r="D28" s="74">
        <f t="shared" ref="D28:I28" si="7">D8+D16+D22+D25</f>
        <v>416300150</v>
      </c>
      <c r="E28" s="73">
        <f t="shared" si="7"/>
        <v>416300150</v>
      </c>
      <c r="F28" s="73">
        <f t="shared" si="7"/>
        <v>2646587.4700000002</v>
      </c>
      <c r="G28" s="73">
        <f t="shared" si="7"/>
        <v>167107307.88000003</v>
      </c>
      <c r="H28" s="73">
        <f t="shared" si="7"/>
        <v>141792532.32999998</v>
      </c>
      <c r="I28" s="73">
        <f t="shared" si="7"/>
        <v>25314775.550000001</v>
      </c>
      <c r="J28" s="304">
        <f t="shared" si="1"/>
        <v>0.17853391242836267</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76150621</v>
      </c>
      <c r="D31" s="46">
        <f t="shared" si="8"/>
        <v>89549850</v>
      </c>
      <c r="E31" s="44">
        <f t="shared" si="8"/>
        <v>89549850</v>
      </c>
      <c r="F31" s="44">
        <f t="shared" si="8"/>
        <v>8486801.25</v>
      </c>
      <c r="G31" s="44">
        <f t="shared" si="8"/>
        <v>39535959.409999996</v>
      </c>
      <c r="H31" s="44">
        <f t="shared" si="8"/>
        <v>2461000</v>
      </c>
      <c r="I31" s="44">
        <f t="shared" si="8"/>
        <v>37074959.409999996</v>
      </c>
      <c r="J31" s="343">
        <f t="shared" ref="J31:J46" si="9">IF(I31=0,"",I31/H31)</f>
        <v>15.064997728565622</v>
      </c>
      <c r="K31" s="144">
        <f t="shared" si="8"/>
        <v>89549850</v>
      </c>
    </row>
    <row r="32" spans="1:11" ht="12.75" customHeight="1" x14ac:dyDescent="0.25">
      <c r="A32" s="396" t="str">
        <f>'SC6'!A42</f>
        <v xml:space="preserve"> Municipal Infrastructure Grant (MIG)</v>
      </c>
      <c r="B32" s="169"/>
      <c r="C32" s="778">
        <v>76150621</v>
      </c>
      <c r="D32" s="779">
        <v>89549850</v>
      </c>
      <c r="E32" s="779">
        <v>89549850</v>
      </c>
      <c r="F32" s="735">
        <v>8486801.25</v>
      </c>
      <c r="G32" s="735">
        <v>39535959.409999996</v>
      </c>
      <c r="H32" s="735">
        <v>2461000</v>
      </c>
      <c r="I32" s="514">
        <f t="shared" ref="I32:I37" si="10">G32-H32</f>
        <v>37074959.409999996</v>
      </c>
      <c r="J32" s="553">
        <f t="shared" si="9"/>
        <v>15.064997728565622</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2"/>
      <c r="D39" s="783"/>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939106.27</v>
      </c>
      <c r="F41" s="430">
        <f t="shared" si="13"/>
        <v>0</v>
      </c>
      <c r="G41" s="430">
        <f t="shared" si="13"/>
        <v>0</v>
      </c>
      <c r="H41" s="430">
        <f t="shared" si="13"/>
        <v>0</v>
      </c>
      <c r="I41" s="514">
        <f t="shared" si="12"/>
        <v>0</v>
      </c>
      <c r="J41" s="553" t="str">
        <f t="shared" si="9"/>
        <v/>
      </c>
      <c r="K41" s="513">
        <f>SUM(K42:K43)</f>
        <v>0</v>
      </c>
    </row>
    <row r="42" spans="1:11" ht="12.75" customHeight="1" x14ac:dyDescent="0.25">
      <c r="A42" s="397" t="s">
        <v>1559</v>
      </c>
      <c r="B42" s="169"/>
      <c r="C42" s="782"/>
      <c r="D42" s="783"/>
      <c r="E42" s="738">
        <v>939106.27</v>
      </c>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2"/>
      <c r="D45" s="783"/>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76150621</v>
      </c>
      <c r="D47" s="74">
        <f t="shared" ref="D47:K47" si="15">D31+D38+D41+D44</f>
        <v>89549850</v>
      </c>
      <c r="E47" s="73">
        <f t="shared" si="15"/>
        <v>90488956.269999996</v>
      </c>
      <c r="F47" s="73">
        <f t="shared" si="15"/>
        <v>8486801.25</v>
      </c>
      <c r="G47" s="73">
        <f t="shared" si="15"/>
        <v>39535959.409999996</v>
      </c>
      <c r="H47" s="73">
        <f t="shared" si="15"/>
        <v>2461000</v>
      </c>
      <c r="I47" s="73">
        <f t="shared" si="15"/>
        <v>37074959.409999996</v>
      </c>
      <c r="J47" s="304">
        <f>IF(I47=0,"",I47/H47)</f>
        <v>15.064997728565622</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435483994.06999999</v>
      </c>
      <c r="D49" s="56">
        <f t="shared" si="16"/>
        <v>505850000</v>
      </c>
      <c r="E49" s="55">
        <f t="shared" si="16"/>
        <v>506789106.26999998</v>
      </c>
      <c r="F49" s="55">
        <f t="shared" si="16"/>
        <v>11133388.720000001</v>
      </c>
      <c r="G49" s="55">
        <f t="shared" si="16"/>
        <v>206643267.29000002</v>
      </c>
      <c r="H49" s="55">
        <f t="shared" si="16"/>
        <v>144253532.32999998</v>
      </c>
      <c r="I49" s="55">
        <f t="shared" si="16"/>
        <v>62389734.959999993</v>
      </c>
      <c r="J49" s="290">
        <f>IF(I49=0,"",I49/H49)</f>
        <v>0.43250057001914388</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6"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5" t="str">
        <f>muni&amp; " - "&amp;S71T&amp; " - "&amp;Head57</f>
        <v>LIM333 Greater Tzaneen - Supporting Table SC7(2) Monthly Budget Statement - Expenditure against approved rollovers - M05 November</v>
      </c>
      <c r="B1" s="1035"/>
      <c r="C1" s="1035"/>
      <c r="D1" s="1035"/>
      <c r="E1" s="1035"/>
      <c r="F1" s="1035"/>
      <c r="G1" s="1035"/>
    </row>
    <row r="2" spans="1:7" ht="21.75" customHeight="1" x14ac:dyDescent="0.25">
      <c r="A2" s="1024" t="str">
        <f>desc</f>
        <v>Description</v>
      </c>
      <c r="B2" s="1017" t="str">
        <f>head27</f>
        <v>Ref</v>
      </c>
      <c r="C2" s="1019" t="str">
        <f>Head2</f>
        <v>Budget Year 2019/20</v>
      </c>
      <c r="D2" s="1020"/>
      <c r="E2" s="1020"/>
      <c r="F2" s="1020"/>
      <c r="G2" s="1021"/>
    </row>
    <row r="3" spans="1:7" ht="39.75" customHeight="1" x14ac:dyDescent="0.25">
      <c r="A3" s="1025"/>
      <c r="B3" s="1028"/>
      <c r="C3" s="199" t="str">
        <f>"Approved Rollover " &amp;Head1</f>
        <v>Approved Rollover 2018/19</v>
      </c>
      <c r="D3" s="141" t="str">
        <f>Head38</f>
        <v>Monthly actual</v>
      </c>
      <c r="E3" s="141" t="str">
        <f>Head39</f>
        <v>YearTD actual</v>
      </c>
      <c r="F3" s="141" t="str">
        <f>Head41</f>
        <v>YTD variance</v>
      </c>
      <c r="G3" s="906" t="str">
        <f>Head41</f>
        <v>YTD variance</v>
      </c>
    </row>
    <row r="4" spans="1:7" x14ac:dyDescent="0.25">
      <c r="A4" s="291" t="s">
        <v>676</v>
      </c>
      <c r="B4" s="248"/>
      <c r="C4" s="293"/>
      <c r="D4" s="295"/>
      <c r="E4" s="905"/>
      <c r="F4" s="295"/>
      <c r="G4" s="907"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8" t="str">
        <f>IF(F8=0,"",F8/C8)</f>
        <v/>
      </c>
    </row>
    <row r="9" spans="1:7" x14ac:dyDescent="0.25">
      <c r="A9" s="396" t="str">
        <f>'SC6'!A9</f>
        <v>Local Government Equitable Share</v>
      </c>
      <c r="B9" s="169"/>
      <c r="C9" s="779"/>
      <c r="D9" s="735"/>
      <c r="E9" s="735"/>
      <c r="F9" s="514">
        <f>E9-C9</f>
        <v>0</v>
      </c>
      <c r="G9" s="909"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0" t="str">
        <f t="shared" si="0"/>
        <v/>
      </c>
    </row>
    <row r="17" spans="1:7" ht="12.75" customHeight="1" x14ac:dyDescent="0.25">
      <c r="A17" s="396">
        <f>'SC6'!A21</f>
        <v>0</v>
      </c>
      <c r="B17" s="169"/>
      <c r="C17" s="779"/>
      <c r="D17" s="735"/>
      <c r="E17" s="735"/>
      <c r="F17" s="514">
        <f>C17-E17</f>
        <v>0</v>
      </c>
      <c r="G17" s="909"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9" t="str">
        <f t="shared" si="0"/>
        <v/>
      </c>
    </row>
    <row r="23" spans="1:7" ht="12.75" customHeight="1" x14ac:dyDescent="0.25">
      <c r="A23" s="397"/>
      <c r="B23" s="169"/>
      <c r="C23" s="783"/>
      <c r="D23" s="738"/>
      <c r="E23" s="738"/>
      <c r="F23" s="514">
        <f>C23-E23</f>
        <v>0</v>
      </c>
      <c r="G23" s="909"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9" t="str">
        <f t="shared" si="0"/>
        <v/>
      </c>
    </row>
    <row r="26" spans="1:7" ht="12.75" customHeight="1" x14ac:dyDescent="0.25">
      <c r="A26" s="397"/>
      <c r="B26" s="169"/>
      <c r="C26" s="783"/>
      <c r="D26" s="738"/>
      <c r="E26" s="738"/>
      <c r="F26" s="514">
        <f>C26-E26</f>
        <v>0</v>
      </c>
      <c r="G26" s="909"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1"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8" t="str">
        <f t="shared" si="0"/>
        <v/>
      </c>
    </row>
    <row r="32" spans="1:7" ht="12.75" customHeight="1" x14ac:dyDescent="0.25">
      <c r="A32" s="396" t="str">
        <f>'SC6'!A42</f>
        <v xml:space="preserve"> Municipal Infrastructure Grant (MIG)</v>
      </c>
      <c r="B32" s="169"/>
      <c r="C32" s="779"/>
      <c r="D32" s="735"/>
      <c r="E32" s="735"/>
      <c r="F32" s="514">
        <f t="shared" ref="F32:F37" si="2">C32-E32</f>
        <v>0</v>
      </c>
      <c r="G32" s="909"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9" t="str">
        <f t="shared" si="0"/>
        <v/>
      </c>
    </row>
    <row r="39" spans="1:7" ht="12.75" customHeight="1" x14ac:dyDescent="0.25">
      <c r="A39" s="397"/>
      <c r="B39" s="169"/>
      <c r="C39" s="783"/>
      <c r="D39" s="738"/>
      <c r="E39" s="738"/>
      <c r="F39" s="514">
        <f>C39-E39</f>
        <v>0</v>
      </c>
      <c r="G39" s="909"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9" t="str">
        <f t="shared" si="0"/>
        <v/>
      </c>
    </row>
    <row r="42" spans="1:7" ht="12.75" customHeight="1" x14ac:dyDescent="0.25">
      <c r="A42" s="397"/>
      <c r="B42" s="169"/>
      <c r="C42" s="783"/>
      <c r="D42" s="738"/>
      <c r="E42" s="738"/>
      <c r="F42" s="514">
        <f>C42-E42</f>
        <v>0</v>
      </c>
      <c r="G42" s="909"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9" t="str">
        <f t="shared" si="0"/>
        <v/>
      </c>
    </row>
    <row r="45" spans="1:7" ht="12.75" customHeight="1" x14ac:dyDescent="0.25">
      <c r="A45" s="397"/>
      <c r="B45" s="169"/>
      <c r="C45" s="783"/>
      <c r="D45" s="738"/>
      <c r="E45" s="738"/>
      <c r="F45" s="514">
        <f>C45-E45</f>
        <v>0</v>
      </c>
      <c r="G45" s="909"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1"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2"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104" activePane="bottomRight" state="frozen"/>
      <selection pane="topRight"/>
      <selection pane="bottomLeft"/>
      <selection pane="bottomRight" activeCell="G49" sqref="G4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"&amp;S71N&amp; " - "&amp;Head57</f>
        <v>LIM333 Greater Tzaneen - Supporting Table SC8 Monthly Budget Statement - councillor and staff benefits  - M05 November</v>
      </c>
      <c r="B1" s="1035"/>
      <c r="C1" s="1035"/>
      <c r="D1" s="1035"/>
      <c r="E1" s="1035"/>
      <c r="F1" s="1035"/>
      <c r="G1" s="1035"/>
      <c r="H1" s="1035"/>
      <c r="I1" s="1035"/>
      <c r="J1" s="1035"/>
      <c r="K1" s="1035"/>
    </row>
    <row r="2" spans="1:11" x14ac:dyDescent="0.25">
      <c r="A2" s="1024" t="s">
        <v>659</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26136302.419999998</v>
      </c>
      <c r="D7" s="746">
        <v>28266131</v>
      </c>
      <c r="E7" s="746">
        <v>28266131</v>
      </c>
      <c r="F7" s="734">
        <v>2206205.5499999998</v>
      </c>
      <c r="G7" s="734">
        <v>11011376.040000001</v>
      </c>
      <c r="H7" s="734">
        <v>6331590.9299999997</v>
      </c>
      <c r="I7" s="44">
        <f t="shared" ref="I7:I14" si="0">G7-H7</f>
        <v>4679785.1100000013</v>
      </c>
      <c r="J7" s="330">
        <f t="shared" ref="J7:J14" si="1">IF(I7=0,"",I7/H7)</f>
        <v>0.73911678150691917</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26136302.419999998</v>
      </c>
      <c r="D14" s="475">
        <f t="shared" si="2"/>
        <v>28266131</v>
      </c>
      <c r="E14" s="430">
        <f t="shared" si="2"/>
        <v>28266131</v>
      </c>
      <c r="F14" s="430">
        <f t="shared" si="2"/>
        <v>2206205.5499999998</v>
      </c>
      <c r="G14" s="430">
        <f t="shared" si="2"/>
        <v>11011376.040000001</v>
      </c>
      <c r="H14" s="430">
        <f t="shared" si="2"/>
        <v>6331590.9299999997</v>
      </c>
      <c r="I14" s="430">
        <f t="shared" si="0"/>
        <v>4679785.1100000013</v>
      </c>
      <c r="J14" s="431">
        <f t="shared" si="1"/>
        <v>0.73911678150691917</v>
      </c>
      <c r="K14" s="513">
        <f t="shared" si="2"/>
        <v>28266131</v>
      </c>
    </row>
    <row r="15" spans="1:11" ht="12.75" customHeight="1" x14ac:dyDescent="0.25">
      <c r="A15" s="566" t="s">
        <v>733</v>
      </c>
      <c r="B15" s="169">
        <v>4</v>
      </c>
      <c r="C15" s="173"/>
      <c r="D15" s="303">
        <f>IF(D14=0,"",(D14/C14)-1)</f>
        <v>8.1489284359145486E-2</v>
      </c>
      <c r="E15" s="303">
        <f>IF(E14=0,"",(E14/C14)-1)</f>
        <v>8.1489284359145486E-2</v>
      </c>
      <c r="F15" s="303"/>
      <c r="G15" s="303"/>
      <c r="H15" s="303"/>
      <c r="I15" s="303"/>
      <c r="J15" s="344"/>
      <c r="K15" s="312">
        <f>IF(K14=0,"",(K14/C14)-1)</f>
        <v>8.1489284359145486E-2</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10227895</v>
      </c>
      <c r="D18" s="746">
        <v>10328246</v>
      </c>
      <c r="E18" s="746">
        <v>10328246</v>
      </c>
      <c r="F18" s="734">
        <v>800810.52</v>
      </c>
      <c r="G18" s="734">
        <v>4008687.04</v>
      </c>
      <c r="H18" s="734">
        <v>4303435.83</v>
      </c>
      <c r="I18" s="44">
        <f t="shared" ref="I18:I30" si="3">G18-H18</f>
        <v>-294748.79000000004</v>
      </c>
      <c r="J18" s="330">
        <f t="shared" ref="J18:J29" si="4">IF(I18=0,"",I18/H18)</f>
        <v>-6.8491503450627739E-2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v>502946</v>
      </c>
      <c r="D22" s="746">
        <v>996627</v>
      </c>
      <c r="E22" s="746">
        <v>0</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10730841</v>
      </c>
      <c r="D30" s="475">
        <f t="shared" si="5"/>
        <v>11324873</v>
      </c>
      <c r="E30" s="430">
        <f t="shared" si="5"/>
        <v>10328246</v>
      </c>
      <c r="F30" s="430">
        <f>SUM(F18:F29)</f>
        <v>800810.52</v>
      </c>
      <c r="G30" s="430">
        <f>SUM(G18:G29)</f>
        <v>4008687.04</v>
      </c>
      <c r="H30" s="430">
        <f>SUM(H18:H29)</f>
        <v>4303435.83</v>
      </c>
      <c r="I30" s="430">
        <f t="shared" si="3"/>
        <v>-294748.79000000004</v>
      </c>
      <c r="J30" s="431">
        <f>IF(I30=0,"",I30/H30)</f>
        <v>-6.8491503450627739E-2</v>
      </c>
      <c r="K30" s="513">
        <f t="shared" si="5"/>
        <v>11324873</v>
      </c>
    </row>
    <row r="31" spans="1:11" ht="12.75" customHeight="1" x14ac:dyDescent="0.25">
      <c r="A31" s="566" t="s">
        <v>733</v>
      </c>
      <c r="B31" s="169">
        <v>4</v>
      </c>
      <c r="C31" s="173"/>
      <c r="D31" s="303">
        <f>IF(D30=0,"",(D30/C30)-1)</f>
        <v>5.5357450548377374E-2</v>
      </c>
      <c r="E31" s="303">
        <f>IF(E30=0,"",(E30/C30)-1)</f>
        <v>-3.7517562696157691E-2</v>
      </c>
      <c r="F31" s="303"/>
      <c r="G31" s="303"/>
      <c r="H31" s="303"/>
      <c r="I31" s="303"/>
      <c r="J31" s="344"/>
      <c r="K31" s="312">
        <f>IF(K30=0,"",(K30/C30)-1)</f>
        <v>5.5357450548377374E-2</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177417368</v>
      </c>
      <c r="D34" s="746">
        <v>194740218.28</v>
      </c>
      <c r="E34" s="746">
        <v>191392991.46000001</v>
      </c>
      <c r="F34" s="734">
        <v>15934195.870000001</v>
      </c>
      <c r="G34" s="734">
        <v>78870428.36999999</v>
      </c>
      <c r="H34" s="734">
        <v>78137116.159999996</v>
      </c>
      <c r="I34" s="44">
        <f t="shared" ref="I34:I46" si="6">G34-H34</f>
        <v>733312.20999999344</v>
      </c>
      <c r="J34" s="330">
        <f t="shared" ref="J34:J45" si="7">IF(I34=0,"",I34/H34)</f>
        <v>9.3849408071114745E-3</v>
      </c>
      <c r="K34" s="736">
        <v>194740218.28</v>
      </c>
    </row>
    <row r="35" spans="1:11" ht="12.75" customHeight="1" x14ac:dyDescent="0.25">
      <c r="A35" s="518" t="s">
        <v>1057</v>
      </c>
      <c r="B35" s="169"/>
      <c r="C35" s="749">
        <v>30465325.089999992</v>
      </c>
      <c r="D35" s="746">
        <v>37229524.350000001</v>
      </c>
      <c r="E35" s="746">
        <v>36607906.260000005</v>
      </c>
      <c r="F35" s="734">
        <v>2708579.97</v>
      </c>
      <c r="G35" s="734">
        <v>13531052.669999998</v>
      </c>
      <c r="H35" s="734">
        <v>12714063.32</v>
      </c>
      <c r="I35" s="44">
        <f t="shared" si="6"/>
        <v>816989.34999999776</v>
      </c>
      <c r="J35" s="330">
        <f t="shared" si="7"/>
        <v>6.4258713319039665E-2</v>
      </c>
      <c r="K35" s="736">
        <v>37229524.350000001</v>
      </c>
    </row>
    <row r="36" spans="1:11" ht="12.75" customHeight="1" x14ac:dyDescent="0.25">
      <c r="A36" s="518" t="s">
        <v>433</v>
      </c>
      <c r="B36" s="169"/>
      <c r="C36" s="749">
        <v>7221630.620000001</v>
      </c>
      <c r="D36" s="746">
        <v>18242071</v>
      </c>
      <c r="E36" s="746">
        <v>17699951.800000001</v>
      </c>
      <c r="F36" s="734">
        <v>1122397.8400000001</v>
      </c>
      <c r="G36" s="734">
        <v>5716055.830000001</v>
      </c>
      <c r="H36" s="734">
        <v>5218433.22</v>
      </c>
      <c r="I36" s="44">
        <f t="shared" si="6"/>
        <v>497622.61000000127</v>
      </c>
      <c r="J36" s="330">
        <f t="shared" si="7"/>
        <v>9.5358623751824356E-2</v>
      </c>
      <c r="K36" s="736">
        <v>18242071</v>
      </c>
    </row>
    <row r="37" spans="1:11" ht="12.75" customHeight="1" x14ac:dyDescent="0.25">
      <c r="A37" s="518" t="s">
        <v>548</v>
      </c>
      <c r="B37" s="169"/>
      <c r="C37" s="749">
        <v>24754749.280000001</v>
      </c>
      <c r="D37" s="746">
        <v>41101954</v>
      </c>
      <c r="E37" s="746">
        <v>20550976.5</v>
      </c>
      <c r="F37" s="734">
        <v>2414550.4399999995</v>
      </c>
      <c r="G37" s="734">
        <v>11399287.489999998</v>
      </c>
      <c r="H37" s="734">
        <v>8692518.459999999</v>
      </c>
      <c r="I37" s="44">
        <f t="shared" si="6"/>
        <v>2706769.0299999993</v>
      </c>
      <c r="J37" s="330">
        <f t="shared" si="7"/>
        <v>0.31139065651176079</v>
      </c>
      <c r="K37" s="736">
        <v>41101954</v>
      </c>
    </row>
    <row r="38" spans="1:11" ht="12.75" customHeight="1" x14ac:dyDescent="0.25">
      <c r="A38" s="518" t="s">
        <v>435</v>
      </c>
      <c r="B38" s="169"/>
      <c r="C38" s="749">
        <v>130800</v>
      </c>
      <c r="D38" s="746">
        <v>19398</v>
      </c>
      <c r="E38" s="746">
        <v>0</v>
      </c>
      <c r="F38" s="734">
        <v>11700</v>
      </c>
      <c r="G38" s="734">
        <v>59250</v>
      </c>
      <c r="H38" s="734">
        <v>52800</v>
      </c>
      <c r="I38" s="44">
        <f t="shared" si="6"/>
        <v>6450</v>
      </c>
      <c r="J38" s="330">
        <f t="shared" si="7"/>
        <v>0.12215909090909091</v>
      </c>
      <c r="K38" s="736">
        <v>19398</v>
      </c>
    </row>
    <row r="39" spans="1:11" ht="12.75" customHeight="1" x14ac:dyDescent="0.25">
      <c r="A39" s="518" t="s">
        <v>1058</v>
      </c>
      <c r="B39" s="169"/>
      <c r="C39" s="749">
        <v>12767199.93</v>
      </c>
      <c r="D39" s="746">
        <v>16369685</v>
      </c>
      <c r="E39" s="746">
        <v>16369685</v>
      </c>
      <c r="F39" s="734">
        <v>1037900.9100000001</v>
      </c>
      <c r="G39" s="734">
        <v>5231023.540000001</v>
      </c>
      <c r="H39" s="734">
        <v>5270927.9499999993</v>
      </c>
      <c r="I39" s="44">
        <f>G39-H39</f>
        <v>-39904.409999998286</v>
      </c>
      <c r="J39" s="330">
        <f>IF(I39=0,"",I39/H39)</f>
        <v>-7.5706612532994867E-3</v>
      </c>
      <c r="K39" s="736">
        <v>16369685</v>
      </c>
    </row>
    <row r="40" spans="1:11" ht="12.75" customHeight="1" x14ac:dyDescent="0.25">
      <c r="A40" s="518" t="s">
        <v>1059</v>
      </c>
      <c r="B40" s="169"/>
      <c r="C40" s="749"/>
      <c r="D40" s="746"/>
      <c r="E40" s="746">
        <v>0</v>
      </c>
      <c r="F40" s="734"/>
      <c r="G40" s="734"/>
      <c r="H40" s="734"/>
      <c r="I40" s="44">
        <f>G40-H40</f>
        <v>0</v>
      </c>
      <c r="J40" s="330" t="str">
        <f>IF(I40=0,"",I40/H40)</f>
        <v/>
      </c>
      <c r="K40" s="736"/>
    </row>
    <row r="41" spans="1:11" ht="12.75" customHeight="1" x14ac:dyDescent="0.25">
      <c r="A41" s="518" t="s">
        <v>1060</v>
      </c>
      <c r="B41" s="169"/>
      <c r="C41" s="749">
        <v>1886397.5999999996</v>
      </c>
      <c r="D41" s="746">
        <v>2077981</v>
      </c>
      <c r="E41" s="746">
        <v>2077981</v>
      </c>
      <c r="F41" s="734">
        <v>159913.56999999998</v>
      </c>
      <c r="G41" s="734">
        <v>737608.13999999978</v>
      </c>
      <c r="H41" s="734">
        <v>812012.6399999999</v>
      </c>
      <c r="I41" s="44">
        <f>G41-H41</f>
        <v>-74404.500000000116</v>
      </c>
      <c r="J41" s="330">
        <f>IF(I41=0,"",I41/H41)</f>
        <v>-9.1629731281030455E-2</v>
      </c>
      <c r="K41" s="736">
        <v>2077981</v>
      </c>
    </row>
    <row r="42" spans="1:11" ht="12.75" customHeight="1" x14ac:dyDescent="0.25">
      <c r="A42" s="518" t="s">
        <v>1061</v>
      </c>
      <c r="B42" s="169"/>
      <c r="C42" s="749">
        <v>22507401</v>
      </c>
      <c r="D42" s="746">
        <v>22847664.399999999</v>
      </c>
      <c r="E42" s="746">
        <v>22500659.699999999</v>
      </c>
      <c r="F42" s="734">
        <v>1106354.6600000001</v>
      </c>
      <c r="G42" s="734">
        <v>8172366.379999999</v>
      </c>
      <c r="H42" s="734">
        <v>7628212.3900000006</v>
      </c>
      <c r="I42" s="44">
        <f t="shared" si="6"/>
        <v>544153.98999999836</v>
      </c>
      <c r="J42" s="330">
        <f t="shared" si="7"/>
        <v>7.1334404730699727E-2</v>
      </c>
      <c r="K42" s="736">
        <v>22847664.399999999</v>
      </c>
    </row>
    <row r="43" spans="1:11" ht="12.75" customHeight="1" x14ac:dyDescent="0.25">
      <c r="A43" s="518" t="s">
        <v>1062</v>
      </c>
      <c r="B43" s="169"/>
      <c r="C43" s="749">
        <v>7350724.7200000007</v>
      </c>
      <c r="D43" s="746">
        <v>7955022</v>
      </c>
      <c r="E43" s="746">
        <v>7955022</v>
      </c>
      <c r="F43" s="734">
        <v>580380.42000000004</v>
      </c>
      <c r="G43" s="734">
        <v>3670770.82</v>
      </c>
      <c r="H43" s="734">
        <v>5178015.8999999994</v>
      </c>
      <c r="I43" s="44">
        <f t="shared" si="6"/>
        <v>-1507245.0799999996</v>
      </c>
      <c r="J43" s="330">
        <f t="shared" si="7"/>
        <v>-0.29108544838574169</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284501596.24000001</v>
      </c>
      <c r="D46" s="475">
        <f t="shared" si="8"/>
        <v>340583518.02999997</v>
      </c>
      <c r="E46" s="430">
        <f t="shared" si="8"/>
        <v>315155173.72000003</v>
      </c>
      <c r="F46" s="430">
        <f>SUM(F34:F45)</f>
        <v>25075973.68</v>
      </c>
      <c r="G46" s="430">
        <f>SUM(G34:G45)</f>
        <v>127387843.23999998</v>
      </c>
      <c r="H46" s="430">
        <f>SUM(H34:H45)</f>
        <v>123704100.03999999</v>
      </c>
      <c r="I46" s="430">
        <f t="shared" si="6"/>
        <v>3683743.1999999881</v>
      </c>
      <c r="J46" s="431">
        <f>IF(I46=0,"",I46/H46)</f>
        <v>2.9778666986856876E-2</v>
      </c>
      <c r="K46" s="513">
        <f t="shared" si="8"/>
        <v>340583518.02999997</v>
      </c>
    </row>
    <row r="47" spans="1:11" ht="12.75" customHeight="1" x14ac:dyDescent="0.25">
      <c r="A47" s="566" t="s">
        <v>733</v>
      </c>
      <c r="B47" s="169">
        <v>4</v>
      </c>
      <c r="C47" s="399"/>
      <c r="D47" s="303">
        <f>IF(D46=0,"",(D46/C46)-1)</f>
        <v>0.1971233994156234</v>
      </c>
      <c r="E47" s="303">
        <f>IF(E46=0,"",(E46/C46)-1)</f>
        <v>0.10774483477463948</v>
      </c>
      <c r="F47" s="303"/>
      <c r="G47" s="303"/>
      <c r="H47" s="303"/>
      <c r="I47" s="401"/>
      <c r="J47" s="403"/>
      <c r="K47" s="312">
        <f>IF(K46=0,"",(K46/C46)-1)</f>
        <v>0.1971233994156234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321368739.66000003</v>
      </c>
      <c r="D49" s="74">
        <f t="shared" ref="D49:K49" si="9">D14+D30+D46</f>
        <v>380174522.02999997</v>
      </c>
      <c r="E49" s="73">
        <f t="shared" si="9"/>
        <v>353749550.72000003</v>
      </c>
      <c r="F49" s="73">
        <f t="shared" si="9"/>
        <v>28082989.75</v>
      </c>
      <c r="G49" s="73">
        <f t="shared" si="9"/>
        <v>142407906.31999999</v>
      </c>
      <c r="H49" s="73">
        <f t="shared" si="9"/>
        <v>134339126.79999998</v>
      </c>
      <c r="I49" s="73">
        <f>G49-H49</f>
        <v>8068779.5200000107</v>
      </c>
      <c r="J49" s="331">
        <f>IF(I49=0,"",I49/H49)</f>
        <v>6.006276586874474E-2</v>
      </c>
      <c r="K49" s="145">
        <f t="shared" si="9"/>
        <v>380174522.02999997</v>
      </c>
    </row>
    <row r="50" spans="1:11" ht="5.0999999999999996" customHeight="1" x14ac:dyDescent="0.25">
      <c r="A50" s="42"/>
      <c r="B50" s="169"/>
      <c r="C50" s="173"/>
      <c r="D50" s="303">
        <f>IF(D49=0,"",(D49/C49)-1)</f>
        <v>0.18298538442853829</v>
      </c>
      <c r="E50" s="303">
        <f>IF(E49=0,"",(E49/C49)-1)</f>
        <v>0.10075905669685881</v>
      </c>
      <c r="F50" s="303"/>
      <c r="G50" s="303"/>
      <c r="H50" s="303"/>
      <c r="I50" s="303"/>
      <c r="J50" s="344"/>
      <c r="K50" s="312">
        <f>IF(K49=0,"",(K49/C49)-1)</f>
        <v>0.18298538442853829</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321368739.66000003</v>
      </c>
      <c r="D104" s="56">
        <f t="shared" si="20"/>
        <v>380174522.02999997</v>
      </c>
      <c r="E104" s="55">
        <f t="shared" si="20"/>
        <v>353749550.72000003</v>
      </c>
      <c r="F104" s="55">
        <f t="shared" si="20"/>
        <v>28082989.75</v>
      </c>
      <c r="G104" s="55">
        <f t="shared" si="20"/>
        <v>142407906.31999999</v>
      </c>
      <c r="H104" s="55">
        <f t="shared" si="20"/>
        <v>134339126.79999998</v>
      </c>
      <c r="I104" s="55">
        <f>G104-H104</f>
        <v>8068779.5200000107</v>
      </c>
      <c r="J104" s="332">
        <f>IF(I104=0,"",I104/H104)</f>
        <v>6.006276586874474E-2</v>
      </c>
      <c r="K104" s="235">
        <f>K49+K102</f>
        <v>380174522.02999997</v>
      </c>
    </row>
    <row r="105" spans="1:14" ht="12.75" customHeight="1" x14ac:dyDescent="0.25">
      <c r="A105" s="566" t="s">
        <v>733</v>
      </c>
      <c r="B105" s="169">
        <v>4</v>
      </c>
      <c r="C105" s="399"/>
      <c r="D105" s="303">
        <f>IF(D104=0,"",(D104/C104)-1)</f>
        <v>0.18298538442853829</v>
      </c>
      <c r="E105" s="303">
        <f>IF(E104=0,"",(E104/C104)-1)</f>
        <v>0.10075905669685881</v>
      </c>
      <c r="F105" s="303"/>
      <c r="G105" s="303"/>
      <c r="H105" s="303"/>
      <c r="I105" s="401"/>
      <c r="J105" s="403"/>
      <c r="K105" s="312">
        <f>IF(K104=0,"",(K104/C104)-1)</f>
        <v>0.18298538442853829</v>
      </c>
      <c r="L105" s="67"/>
      <c r="M105" s="67"/>
      <c r="N105" s="67"/>
    </row>
    <row r="106" spans="1:14" ht="12.75" customHeight="1" x14ac:dyDescent="0.25">
      <c r="A106" s="568" t="s">
        <v>137</v>
      </c>
      <c r="B106" s="236"/>
      <c r="C106" s="112">
        <f t="shared" ref="C106:I106" si="21">C30+C46+C83+C99</f>
        <v>295232437.24000001</v>
      </c>
      <c r="D106" s="56">
        <f t="shared" si="21"/>
        <v>351908391.02999997</v>
      </c>
      <c r="E106" s="55">
        <f t="shared" si="21"/>
        <v>325483419.72000003</v>
      </c>
      <c r="F106" s="55">
        <f t="shared" si="21"/>
        <v>25876784.199999999</v>
      </c>
      <c r="G106" s="55">
        <f t="shared" si="21"/>
        <v>131396530.27999999</v>
      </c>
      <c r="H106" s="55">
        <f t="shared" si="21"/>
        <v>128007535.86999999</v>
      </c>
      <c r="I106" s="55">
        <f t="shared" si="21"/>
        <v>3388994.409999988</v>
      </c>
      <c r="J106" s="889">
        <f>IF(I106=0,"",I106/H106)</f>
        <v>2.6474960141735195E-2</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D56" activePane="bottomRight" state="frozen"/>
      <selection pane="topRight"/>
      <selection pane="bottomLeft"/>
      <selection pane="bottomRight" activeCell="G20" sqref="G20"/>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M05 November</v>
      </c>
      <c r="B1" s="68"/>
    </row>
    <row r="2" spans="1:17" ht="25.5" customHeight="1" x14ac:dyDescent="0.25">
      <c r="A2" s="1024" t="str">
        <f>desc</f>
        <v>Description</v>
      </c>
      <c r="B2" s="1017" t="str">
        <f>head27</f>
        <v>Ref</v>
      </c>
      <c r="C2" s="1019" t="str">
        <f>Head2</f>
        <v>Budget Year 2019/20</v>
      </c>
      <c r="D2" s="1020"/>
      <c r="E2" s="1020"/>
      <c r="F2" s="1020"/>
      <c r="G2" s="1020"/>
      <c r="H2" s="1020"/>
      <c r="I2" s="1020"/>
      <c r="J2" s="1020"/>
      <c r="K2" s="1020"/>
      <c r="L2" s="1020"/>
      <c r="M2" s="1020"/>
      <c r="N2" s="1071"/>
      <c r="O2" s="1019" t="str">
        <f>'Template names'!B5</f>
        <v>2019/20 Medium Term Revenue &amp; Expenditure Framework</v>
      </c>
      <c r="P2" s="1020"/>
      <c r="Q2" s="1021"/>
    </row>
    <row r="3" spans="1:17" ht="12.75" customHeight="1" x14ac:dyDescent="0.25">
      <c r="A3" s="1025"/>
      <c r="B3" s="1028"/>
      <c r="C3" s="143" t="s">
        <v>793</v>
      </c>
      <c r="D3" s="27" t="s">
        <v>920</v>
      </c>
      <c r="E3" s="27" t="s">
        <v>3</v>
      </c>
      <c r="F3" s="27" t="s">
        <v>921</v>
      </c>
      <c r="G3" s="27" t="s">
        <v>4</v>
      </c>
      <c r="H3" s="27" t="s">
        <v>5</v>
      </c>
      <c r="I3" s="27" t="s">
        <v>924</v>
      </c>
      <c r="J3" s="27" t="s">
        <v>6</v>
      </c>
      <c r="K3" s="27" t="s">
        <v>926</v>
      </c>
      <c r="L3" s="27" t="s">
        <v>927</v>
      </c>
      <c r="M3" s="27" t="s">
        <v>928</v>
      </c>
      <c r="N3" s="163" t="s">
        <v>929</v>
      </c>
      <c r="O3" s="1069" t="str">
        <f>Head9</f>
        <v>Budget Year 2019/20</v>
      </c>
      <c r="P3" s="1065" t="str">
        <f>Head10</f>
        <v>Budget Year +1 2020/21</v>
      </c>
      <c r="Q3" s="1067" t="str">
        <f>Head11</f>
        <v>Budget Year +2 2021/22</v>
      </c>
    </row>
    <row r="4" spans="1:17" ht="13.5" customHeight="1" x14ac:dyDescent="0.25">
      <c r="A4" s="291" t="s">
        <v>676</v>
      </c>
      <c r="B4" s="248">
        <v>1</v>
      </c>
      <c r="C4" s="789" t="s">
        <v>559</v>
      </c>
      <c r="D4" s="790" t="s">
        <v>559</v>
      </c>
      <c r="E4" s="790" t="s">
        <v>559</v>
      </c>
      <c r="F4" s="790" t="s">
        <v>559</v>
      </c>
      <c r="G4" s="790" t="s">
        <v>559</v>
      </c>
      <c r="H4" s="790" t="s">
        <v>559</v>
      </c>
      <c r="I4" s="790" t="s">
        <v>51</v>
      </c>
      <c r="J4" s="790" t="s">
        <v>51</v>
      </c>
      <c r="K4" s="790" t="s">
        <v>51</v>
      </c>
      <c r="L4" s="790" t="s">
        <v>51</v>
      </c>
      <c r="M4" s="790" t="s">
        <v>51</v>
      </c>
      <c r="N4" s="791" t="s">
        <v>51</v>
      </c>
      <c r="O4" s="1070"/>
      <c r="P4" s="1066"/>
      <c r="Q4" s="1068"/>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8393691</v>
      </c>
      <c r="E6" s="734">
        <v>6913624.1100000003</v>
      </c>
      <c r="F6" s="734">
        <v>7576366.9400000004</v>
      </c>
      <c r="G6" s="734">
        <v>7045768.04</v>
      </c>
      <c r="H6" s="734">
        <v>8099657.2181721767</v>
      </c>
      <c r="I6" s="734">
        <v>7959251.3962304154</v>
      </c>
      <c r="J6" s="734">
        <v>8879934.8154676147</v>
      </c>
      <c r="K6" s="734">
        <v>9742694.5445442591</v>
      </c>
      <c r="L6" s="734">
        <v>9519831.5249093082</v>
      </c>
      <c r="M6" s="734">
        <v>8455682.4384750575</v>
      </c>
      <c r="N6" s="108">
        <f t="shared" ref="N6:N20" si="0">O6-SUM(C6:M6)</f>
        <v>11528864.972201169</v>
      </c>
      <c r="O6" s="746">
        <v>101160000</v>
      </c>
      <c r="P6" s="734">
        <v>106622640</v>
      </c>
      <c r="Q6" s="736">
        <v>112380532.2</v>
      </c>
    </row>
    <row r="7" spans="1:17" ht="12.75" customHeight="1" x14ac:dyDescent="0.25">
      <c r="A7" s="39" t="s">
        <v>845</v>
      </c>
      <c r="B7" s="40"/>
      <c r="C7" s="754">
        <v>41469378</v>
      </c>
      <c r="D7" s="734">
        <v>44693884</v>
      </c>
      <c r="E7" s="734">
        <v>56164291.43</v>
      </c>
      <c r="F7" s="734">
        <v>61018463.259999998</v>
      </c>
      <c r="G7" s="734">
        <v>44832984.719999999</v>
      </c>
      <c r="H7" s="734">
        <v>41177810.381721333</v>
      </c>
      <c r="I7" s="734">
        <v>44000745.437329106</v>
      </c>
      <c r="J7" s="734">
        <v>44308178.373837918</v>
      </c>
      <c r="K7" s="734">
        <v>41472624.428226635</v>
      </c>
      <c r="L7" s="734">
        <v>38092901.077175796</v>
      </c>
      <c r="M7" s="734">
        <v>51443659.471997127</v>
      </c>
      <c r="N7" s="108">
        <f t="shared" si="0"/>
        <v>22469599.419712067</v>
      </c>
      <c r="O7" s="746">
        <v>531144520</v>
      </c>
      <c r="P7" s="734">
        <v>559081124.08000004</v>
      </c>
      <c r="Q7" s="736">
        <v>588526304.38839996</v>
      </c>
    </row>
    <row r="8" spans="1:17" ht="12.75" customHeight="1" x14ac:dyDescent="0.25">
      <c r="A8" s="39" t="s">
        <v>846</v>
      </c>
      <c r="B8" s="40"/>
      <c r="C8" s="754">
        <v>1584035</v>
      </c>
      <c r="D8" s="734">
        <v>1362509</v>
      </c>
      <c r="E8" s="734">
        <v>2001904.3</v>
      </c>
      <c r="F8" s="734">
        <v>1847803.43</v>
      </c>
      <c r="G8" s="734">
        <v>2298166.36</v>
      </c>
      <c r="H8" s="734"/>
      <c r="I8" s="734"/>
      <c r="J8" s="734"/>
      <c r="K8" s="734"/>
      <c r="L8" s="734"/>
      <c r="M8" s="734"/>
      <c r="N8" s="108">
        <f t="shared" si="0"/>
        <v>-9094418.0899999999</v>
      </c>
      <c r="O8" s="746"/>
      <c r="P8" s="734"/>
      <c r="Q8" s="736"/>
    </row>
    <row r="9" spans="1:17" ht="12.75" customHeight="1" x14ac:dyDescent="0.25">
      <c r="A9" s="39" t="s">
        <v>847</v>
      </c>
      <c r="B9" s="40"/>
      <c r="C9" s="754">
        <v>438582</v>
      </c>
      <c r="D9" s="734">
        <v>462919</v>
      </c>
      <c r="E9" s="734">
        <v>465756.06</v>
      </c>
      <c r="F9" s="734">
        <v>431820.91</v>
      </c>
      <c r="G9" s="734">
        <v>440490.92</v>
      </c>
      <c r="H9" s="734"/>
      <c r="I9" s="734"/>
      <c r="J9" s="734"/>
      <c r="K9" s="734"/>
      <c r="L9" s="734"/>
      <c r="M9" s="734"/>
      <c r="N9" s="108">
        <f t="shared" si="0"/>
        <v>-2239568.89</v>
      </c>
      <c r="O9" s="746"/>
      <c r="P9" s="734"/>
      <c r="Q9" s="736"/>
    </row>
    <row r="10" spans="1:17" ht="12.75" customHeight="1" x14ac:dyDescent="0.25">
      <c r="A10" s="39" t="s">
        <v>492</v>
      </c>
      <c r="B10" s="40"/>
      <c r="C10" s="754">
        <v>3261857</v>
      </c>
      <c r="D10" s="734">
        <v>2666945.5866240235</v>
      </c>
      <c r="E10" s="734">
        <v>2221657.9500000002</v>
      </c>
      <c r="F10" s="734">
        <v>2441225.35</v>
      </c>
      <c r="G10" s="734">
        <v>2111358.35</v>
      </c>
      <c r="H10" s="734">
        <v>2527422.3459034786</v>
      </c>
      <c r="I10" s="734">
        <v>2428029.8930075923</v>
      </c>
      <c r="J10" s="734">
        <v>2384328.9249765878</v>
      </c>
      <c r="K10" s="734">
        <v>2409846.1280994127</v>
      </c>
      <c r="L10" s="734">
        <v>2793545.0427508135</v>
      </c>
      <c r="M10" s="734">
        <v>2459854.146944806</v>
      </c>
      <c r="N10" s="108">
        <f t="shared" si="0"/>
        <v>3317853.7216932885</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1800</v>
      </c>
      <c r="E12" s="734">
        <v>2900</v>
      </c>
      <c r="F12" s="734">
        <v>7060</v>
      </c>
      <c r="G12" s="734">
        <v>3771187.67</v>
      </c>
      <c r="H12" s="734">
        <v>163598.49918502098</v>
      </c>
      <c r="I12" s="734">
        <v>166205.08013959124</v>
      </c>
      <c r="J12" s="734">
        <v>157627.05918000548</v>
      </c>
      <c r="K12" s="734">
        <v>165612.67537718912</v>
      </c>
      <c r="L12" s="734">
        <v>157627.05918000548</v>
      </c>
      <c r="M12" s="734">
        <v>164878.09347181016</v>
      </c>
      <c r="N12" s="108">
        <f t="shared" si="0"/>
        <v>-2945664.1365336226</v>
      </c>
      <c r="O12" s="746">
        <v>1814332</v>
      </c>
      <c r="P12" s="734">
        <v>1912305.56</v>
      </c>
      <c r="Q12" s="736">
        <v>2015570.04</v>
      </c>
    </row>
    <row r="13" spans="1:17" ht="12.75" customHeight="1" x14ac:dyDescent="0.25">
      <c r="A13" s="39" t="s">
        <v>850</v>
      </c>
      <c r="B13" s="40"/>
      <c r="C13" s="754">
        <v>0</v>
      </c>
      <c r="D13" s="734">
        <v>195129</v>
      </c>
      <c r="E13" s="734">
        <v>0</v>
      </c>
      <c r="F13" s="734">
        <v>25616.46</v>
      </c>
      <c r="G13" s="734"/>
      <c r="H13" s="734">
        <v>84010.677395225372</v>
      </c>
      <c r="I13" s="734">
        <v>186843.06202505692</v>
      </c>
      <c r="J13" s="734">
        <v>120736.4093614265</v>
      </c>
      <c r="K13" s="734">
        <v>108801.50995525815</v>
      </c>
      <c r="L13" s="734">
        <v>1092501.2991047329</v>
      </c>
      <c r="M13" s="734">
        <v>42189.936425698615</v>
      </c>
      <c r="N13" s="108">
        <f t="shared" si="0"/>
        <v>1154871.6457326014</v>
      </c>
      <c r="O13" s="746">
        <v>3010700</v>
      </c>
      <c r="P13" s="734">
        <v>3173277.8</v>
      </c>
      <c r="Q13" s="736">
        <v>3344635</v>
      </c>
    </row>
    <row r="14" spans="1:17" ht="12.75" customHeight="1" x14ac:dyDescent="0.25">
      <c r="A14" s="39" t="s">
        <v>851</v>
      </c>
      <c r="B14" s="40"/>
      <c r="C14" s="754">
        <v>0</v>
      </c>
      <c r="D14" s="734">
        <v>0</v>
      </c>
      <c r="E14" s="734">
        <v>0</v>
      </c>
      <c r="F14" s="734">
        <v>0</v>
      </c>
      <c r="G14" s="734"/>
      <c r="H14" s="734">
        <v>1019933.12371181</v>
      </c>
      <c r="I14" s="734">
        <v>1046673.84237471</v>
      </c>
      <c r="J14" s="734">
        <v>997689.19432776095</v>
      </c>
      <c r="K14" s="734">
        <v>1054567.1748899601</v>
      </c>
      <c r="L14" s="734">
        <v>1093646.58313049</v>
      </c>
      <c r="M14" s="734">
        <v>875941.07015450904</v>
      </c>
      <c r="N14" s="108">
        <f t="shared" si="0"/>
        <v>5811549.0114107598</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25930</v>
      </c>
      <c r="E16" s="734">
        <v>444693.02</v>
      </c>
      <c r="F16" s="734">
        <f>80535+123740</f>
        <v>204275</v>
      </c>
      <c r="G16" s="734">
        <v>132600</v>
      </c>
      <c r="H16" s="734">
        <v>654559.63959646598</v>
      </c>
      <c r="I16" s="734">
        <v>271380.58558210201</v>
      </c>
      <c r="J16" s="734">
        <v>204106.155022639</v>
      </c>
      <c r="K16" s="734">
        <v>404257.36603152199</v>
      </c>
      <c r="L16" s="734">
        <v>455359.93713460601</v>
      </c>
      <c r="M16" s="734">
        <v>253083.60624085899</v>
      </c>
      <c r="N16" s="108">
        <f t="shared" si="0"/>
        <v>974871.09039180633</v>
      </c>
      <c r="O16" s="746">
        <v>4051022.4</v>
      </c>
      <c r="P16" s="734">
        <v>4269777.3</v>
      </c>
      <c r="Q16" s="736">
        <v>4500345.6000000006</v>
      </c>
    </row>
    <row r="17" spans="1:17" ht="12.75" customHeight="1" x14ac:dyDescent="0.25">
      <c r="A17" s="39" t="s">
        <v>852</v>
      </c>
      <c r="B17" s="40"/>
      <c r="C17" s="754">
        <v>74385</v>
      </c>
      <c r="D17" s="734">
        <v>193077</v>
      </c>
      <c r="E17" s="734">
        <v>49941.88</v>
      </c>
      <c r="F17" s="734">
        <v>82031.92</v>
      </c>
      <c r="G17" s="734">
        <v>116859.92</v>
      </c>
      <c r="H17" s="734">
        <v>23271.961314832428</v>
      </c>
      <c r="I17" s="734">
        <v>45414.243162257902</v>
      </c>
      <c r="J17" s="734">
        <v>53840.737791395317</v>
      </c>
      <c r="K17" s="734">
        <v>55482.297783229871</v>
      </c>
      <c r="L17" s="734">
        <v>67883.095550493119</v>
      </c>
      <c r="M17" s="734">
        <v>75703.454952382424</v>
      </c>
      <c r="N17" s="108">
        <f t="shared" si="0"/>
        <v>-86251.510554590961</v>
      </c>
      <c r="O17" s="746">
        <v>751640</v>
      </c>
      <c r="P17" s="734">
        <v>792228.56</v>
      </c>
      <c r="Q17" s="736">
        <v>835008.56</v>
      </c>
    </row>
    <row r="18" spans="1:17" ht="12.75" customHeight="1" x14ac:dyDescent="0.25">
      <c r="A18" s="39" t="s">
        <v>589</v>
      </c>
      <c r="B18" s="40"/>
      <c r="C18" s="754">
        <v>5778349</v>
      </c>
      <c r="D18" s="734">
        <v>4443379</v>
      </c>
      <c r="E18" s="734">
        <v>5350680.54</v>
      </c>
      <c r="F18" s="734">
        <v>5501700</v>
      </c>
      <c r="G18" s="734">
        <v>3996018</v>
      </c>
      <c r="H18" s="734">
        <v>3413062.4379920484</v>
      </c>
      <c r="I18" s="734">
        <v>4209327.7522872211</v>
      </c>
      <c r="J18" s="734">
        <v>4375286.4766559713</v>
      </c>
      <c r="K18" s="734">
        <v>3031362.3703563232</v>
      </c>
      <c r="L18" s="734">
        <v>4683812.2875308739</v>
      </c>
      <c r="M18" s="734">
        <v>4683812.2875308739</v>
      </c>
      <c r="N18" s="108">
        <f t="shared" si="0"/>
        <v>-1168928.252353318</v>
      </c>
      <c r="O18" s="746">
        <v>48297861.899999999</v>
      </c>
      <c r="P18" s="734">
        <v>50905946.700000003</v>
      </c>
      <c r="Q18" s="736">
        <v>53654868</v>
      </c>
    </row>
    <row r="19" spans="1:17" ht="12.75" customHeight="1" x14ac:dyDescent="0.25">
      <c r="A19" s="39" t="s">
        <v>138</v>
      </c>
      <c r="B19" s="40"/>
      <c r="C19" s="754">
        <v>163872000</v>
      </c>
      <c r="D19" s="734">
        <v>3583000</v>
      </c>
      <c r="E19" s="734">
        <v>0</v>
      </c>
      <c r="F19" s="734">
        <v>0</v>
      </c>
      <c r="G19" s="734">
        <v>6345147.6699999999</v>
      </c>
      <c r="H19" s="734">
        <v>473942.45058368589</v>
      </c>
      <c r="I19" s="734">
        <v>321153.8151481286</v>
      </c>
      <c r="J19" s="734">
        <v>1218031.6994946899</v>
      </c>
      <c r="K19" s="734">
        <f>117742103.855542-163000+572000+1284342</f>
        <v>119435445.855542</v>
      </c>
      <c r="L19" s="734">
        <v>0</v>
      </c>
      <c r="M19" s="734">
        <v>0</v>
      </c>
      <c r="N19" s="108">
        <f t="shared" si="0"/>
        <v>121051428.50923151</v>
      </c>
      <c r="O19" s="746">
        <v>416300150</v>
      </c>
      <c r="P19" s="734">
        <v>446332500</v>
      </c>
      <c r="Q19" s="736">
        <v>466558050</v>
      </c>
    </row>
    <row r="20" spans="1:17" ht="12.75" customHeight="1" x14ac:dyDescent="0.25">
      <c r="A20" s="39" t="s">
        <v>460</v>
      </c>
      <c r="B20" s="40"/>
      <c r="C20" s="754">
        <v>3816401</v>
      </c>
      <c r="D20" s="734">
        <f>29564585-150672</f>
        <v>29413913</v>
      </c>
      <c r="E20" s="734">
        <f>41478333.81</f>
        <v>41478333.810000002</v>
      </c>
      <c r="F20" s="734">
        <v>23925650.510000002</v>
      </c>
      <c r="G20" s="734">
        <v>12913199.319999993</v>
      </c>
      <c r="H20" s="734">
        <v>401289.6068775857</v>
      </c>
      <c r="I20" s="734">
        <v>736635.46996968472</v>
      </c>
      <c r="J20" s="734">
        <v>561775.92160141922</v>
      </c>
      <c r="K20" s="734">
        <v>503061.08484743536</v>
      </c>
      <c r="L20" s="734">
        <v>407292.40926248394</v>
      </c>
      <c r="M20" s="734">
        <f>10491988.241678-5000000</f>
        <v>5491988.2416779995</v>
      </c>
      <c r="N20" s="108">
        <f t="shared" si="0"/>
        <v>-109560229.6742366</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95436176.586624026</v>
      </c>
      <c r="E21" s="430">
        <f t="shared" si="1"/>
        <v>115093783.09999999</v>
      </c>
      <c r="F21" s="430">
        <f t="shared" si="1"/>
        <v>103062013.78</v>
      </c>
      <c r="G21" s="430">
        <f t="shared" si="1"/>
        <v>84003780.969999999</v>
      </c>
      <c r="H21" s="430">
        <f t="shared" si="1"/>
        <v>58038558.342453666</v>
      </c>
      <c r="I21" s="430">
        <f t="shared" si="1"/>
        <v>61371660.57725586</v>
      </c>
      <c r="J21" s="430">
        <f t="shared" si="1"/>
        <v>63261535.767717421</v>
      </c>
      <c r="K21" s="430">
        <f t="shared" si="1"/>
        <v>178383755.43565324</v>
      </c>
      <c r="L21" s="430">
        <f t="shared" si="1"/>
        <v>58364400.315729603</v>
      </c>
      <c r="M21" s="430">
        <f t="shared" si="1"/>
        <v>73946792.747871131</v>
      </c>
      <c r="N21" s="508">
        <f t="shared" si="1"/>
        <v>41213977.816695064</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32482000</v>
      </c>
      <c r="H24" s="734">
        <v>0</v>
      </c>
      <c r="I24" s="734">
        <v>0</v>
      </c>
      <c r="J24" s="734">
        <v>0</v>
      </c>
      <c r="K24" s="734">
        <v>25831849.999999996</v>
      </c>
      <c r="L24" s="734"/>
      <c r="M24" s="734"/>
      <c r="N24" s="108">
        <f t="shared" si="2"/>
        <v>0</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19947068</v>
      </c>
      <c r="E28" s="734">
        <v>0</v>
      </c>
      <c r="F28" s="734">
        <v>0</v>
      </c>
      <c r="G28" s="734">
        <v>0</v>
      </c>
      <c r="H28" s="734">
        <v>0</v>
      </c>
      <c r="I28" s="734">
        <v>0</v>
      </c>
      <c r="J28" s="734">
        <v>0</v>
      </c>
      <c r="K28" s="734"/>
      <c r="L28" s="734"/>
      <c r="M28" s="734"/>
      <c r="N28" s="108">
        <f t="shared" si="2"/>
        <v>52932</v>
      </c>
      <c r="O28" s="746">
        <v>20000000</v>
      </c>
      <c r="P28" s="734">
        <v>30000000</v>
      </c>
      <c r="Q28" s="736">
        <v>0</v>
      </c>
    </row>
    <row r="29" spans="1:17" ht="12.75" customHeight="1" x14ac:dyDescent="0.25">
      <c r="A29" s="39" t="s">
        <v>849</v>
      </c>
      <c r="B29" s="40"/>
      <c r="C29" s="754">
        <v>10790</v>
      </c>
      <c r="D29" s="734">
        <v>11065</v>
      </c>
      <c r="E29" s="734">
        <v>8580</v>
      </c>
      <c r="F29" s="734">
        <v>81695.490000000005</v>
      </c>
      <c r="G29" s="734">
        <v>7510</v>
      </c>
      <c r="H29" s="734">
        <v>61320.578975801494</v>
      </c>
      <c r="I29" s="734">
        <v>127593.2514918376</v>
      </c>
      <c r="J29" s="734">
        <v>61542.569375880979</v>
      </c>
      <c r="K29" s="734">
        <v>58639.617990226216</v>
      </c>
      <c r="L29" s="734">
        <v>65350.558546475171</v>
      </c>
      <c r="M29" s="734">
        <v>58964.065498034688</v>
      </c>
      <c r="N29" s="108">
        <f t="shared" si="2"/>
        <v>546948.8681217439</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115394309.58662403</v>
      </c>
      <c r="E33" s="73">
        <f t="shared" si="3"/>
        <v>115102363.09999999</v>
      </c>
      <c r="F33" s="73">
        <f t="shared" si="3"/>
        <v>103143709.27</v>
      </c>
      <c r="G33" s="73">
        <f t="shared" si="3"/>
        <v>116493290.97</v>
      </c>
      <c r="H33" s="73">
        <f t="shared" si="3"/>
        <v>58099878.92142947</v>
      </c>
      <c r="I33" s="73">
        <f t="shared" si="3"/>
        <v>61499253.828747697</v>
      </c>
      <c r="J33" s="73">
        <f t="shared" si="3"/>
        <v>63323078.337093301</v>
      </c>
      <c r="K33" s="73">
        <f t="shared" si="3"/>
        <v>204274245.05364347</v>
      </c>
      <c r="L33" s="73">
        <f t="shared" si="3"/>
        <v>58429750.874276079</v>
      </c>
      <c r="M33" s="73">
        <f t="shared" si="3"/>
        <v>74005756.81336917</v>
      </c>
      <c r="N33" s="320">
        <f t="shared" si="3"/>
        <v>41462397.531716809</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29204721.509999983</v>
      </c>
      <c r="E36" s="734">
        <v>28990224.359999988</v>
      </c>
      <c r="F36" s="734">
        <v>29374303.11999999</v>
      </c>
      <c r="G36" s="734">
        <v>26095582.309999999</v>
      </c>
      <c r="H36" s="734">
        <v>29162834.95945897</v>
      </c>
      <c r="I36" s="734">
        <v>33186770.471187167</v>
      </c>
      <c r="J36" s="734">
        <v>29094219.123077866</v>
      </c>
      <c r="K36" s="734">
        <v>28226195.401072327</v>
      </c>
      <c r="L36" s="734">
        <v>29028699.875269827</v>
      </c>
      <c r="M36" s="734">
        <v>28262927.791145653</v>
      </c>
      <c r="N36" s="108">
        <f t="shared" si="4"/>
        <v>38538814.538788199</v>
      </c>
      <c r="O36" s="746">
        <v>360656346</v>
      </c>
      <c r="P36" s="734">
        <v>379872974</v>
      </c>
      <c r="Q36" s="736">
        <v>400517702</v>
      </c>
    </row>
    <row r="37" spans="1:17" ht="12.75" customHeight="1" x14ac:dyDescent="0.25">
      <c r="A37" s="39" t="s">
        <v>484</v>
      </c>
      <c r="B37" s="40"/>
      <c r="C37" s="754">
        <v>2197016.9000000004</v>
      </c>
      <c r="D37" s="734">
        <v>2196104.27</v>
      </c>
      <c r="E37" s="734">
        <v>2195108.2200000002</v>
      </c>
      <c r="F37" s="734">
        <v>2216941.1</v>
      </c>
      <c r="G37" s="734">
        <v>2206205.5499999998</v>
      </c>
      <c r="H37" s="734">
        <v>2299685.9348403225</v>
      </c>
      <c r="I37" s="734">
        <v>2296762.4753874475</v>
      </c>
      <c r="J37" s="734">
        <v>2466508.4900329132</v>
      </c>
      <c r="K37" s="734">
        <v>2428591.2037467537</v>
      </c>
      <c r="L37" s="734">
        <v>2413016.3376850528</v>
      </c>
      <c r="M37" s="734">
        <v>2452005.3292874708</v>
      </c>
      <c r="N37" s="108">
        <f t="shared" si="4"/>
        <v>3636045.1890200451</v>
      </c>
      <c r="O37" s="746">
        <v>29003991</v>
      </c>
      <c r="P37" s="734">
        <v>30617353</v>
      </c>
      <c r="Q37" s="736">
        <v>32307246</v>
      </c>
    </row>
    <row r="38" spans="1:17" ht="12.75" customHeight="1" x14ac:dyDescent="0.25">
      <c r="A38" s="39" t="s">
        <v>856</v>
      </c>
      <c r="B38" s="40"/>
      <c r="C38" s="754">
        <v>249380.17910935712</v>
      </c>
      <c r="D38" s="734">
        <v>167383.51</v>
      </c>
      <c r="E38" s="734">
        <v>1939730.31</v>
      </c>
      <c r="F38" s="734">
        <v>1999649.56</v>
      </c>
      <c r="G38" s="734">
        <v>159400.17000000001</v>
      </c>
      <c r="H38" s="734">
        <v>1831629.3935421861</v>
      </c>
      <c r="I38" s="734">
        <v>705496.40061638062</v>
      </c>
      <c r="J38" s="734">
        <v>219821.05428481294</v>
      </c>
      <c r="K38" s="734">
        <v>705981.0792534264</v>
      </c>
      <c r="L38" s="734">
        <v>2434071.4675037204</v>
      </c>
      <c r="M38" s="734">
        <v>444068.06240543438</v>
      </c>
      <c r="N38" s="108">
        <f t="shared" si="4"/>
        <v>3801702.8132846821</v>
      </c>
      <c r="O38" s="746">
        <v>14658314</v>
      </c>
      <c r="P38" s="734">
        <v>12552036</v>
      </c>
      <c r="Q38" s="736">
        <v>9964209</v>
      </c>
    </row>
    <row r="39" spans="1:17" ht="12.75" customHeight="1" x14ac:dyDescent="0.25">
      <c r="A39" s="39" t="s">
        <v>930</v>
      </c>
      <c r="B39" s="40"/>
      <c r="C39" s="754">
        <v>65149735</v>
      </c>
      <c r="D39" s="734">
        <v>8725127.3599999994</v>
      </c>
      <c r="E39" s="734">
        <v>55232634.370000005</v>
      </c>
      <c r="F39" s="734">
        <v>6521739.1299999999</v>
      </c>
      <c r="G39" s="734">
        <v>22181115.140000001</v>
      </c>
      <c r="H39" s="734">
        <v>31237496.205746304</v>
      </c>
      <c r="I39" s="734">
        <v>25946413.279384147</v>
      </c>
      <c r="J39" s="734">
        <v>28532760.978781335</v>
      </c>
      <c r="K39" s="734">
        <v>28288980.47884272</v>
      </c>
      <c r="L39" s="734">
        <v>27457040.259553812</v>
      </c>
      <c r="M39" s="734">
        <v>23847626.579864193</v>
      </c>
      <c r="N39" s="108">
        <f t="shared" si="4"/>
        <v>79879331.217827499</v>
      </c>
      <c r="O39" s="746">
        <v>403000000</v>
      </c>
      <c r="P39" s="734">
        <v>424762000</v>
      </c>
      <c r="Q39" s="736">
        <v>447699148</v>
      </c>
    </row>
    <row r="40" spans="1:17" ht="12.75" customHeight="1" x14ac:dyDescent="0.25">
      <c r="A40" s="86" t="s">
        <v>933</v>
      </c>
      <c r="B40" s="40"/>
      <c r="C40" s="754"/>
      <c r="D40" s="734">
        <v>451272.54</v>
      </c>
      <c r="E40" s="734">
        <v>614750.56999999995</v>
      </c>
      <c r="F40" s="734">
        <v>543804.68999999994</v>
      </c>
      <c r="G40" s="734">
        <v>509141.03</v>
      </c>
      <c r="H40" s="734"/>
      <c r="I40" s="734"/>
      <c r="J40" s="734"/>
      <c r="K40" s="734"/>
      <c r="L40" s="734"/>
      <c r="M40" s="734"/>
      <c r="N40" s="108">
        <f t="shared" si="4"/>
        <v>-2118968.83</v>
      </c>
      <c r="O40" s="746"/>
      <c r="P40" s="734"/>
      <c r="Q40" s="736"/>
    </row>
    <row r="41" spans="1:17" ht="12.75" customHeight="1" x14ac:dyDescent="0.25">
      <c r="A41" s="86" t="s">
        <v>935</v>
      </c>
      <c r="B41" s="40"/>
      <c r="C41" s="754">
        <v>3390302.5900000008</v>
      </c>
      <c r="D41" s="734">
        <v>3753191.419999999</v>
      </c>
      <c r="E41" s="734">
        <v>1646677.1700000004</v>
      </c>
      <c r="F41" s="734">
        <v>4396811.5299999993</v>
      </c>
      <c r="G41" s="734">
        <v>5992183.1999999993</v>
      </c>
      <c r="H41" s="734">
        <v>985451.20943928708</v>
      </c>
      <c r="I41" s="734">
        <v>5936535.439970566</v>
      </c>
      <c r="J41" s="734">
        <v>2196727.9036727436</v>
      </c>
      <c r="K41" s="734">
        <v>10153241.435274644</v>
      </c>
      <c r="L41" s="734">
        <v>2822417.6382836867</v>
      </c>
      <c r="M41" s="734">
        <v>3134255.5627479246</v>
      </c>
      <c r="N41" s="108">
        <f t="shared" si="4"/>
        <v>14035847.710611157</v>
      </c>
      <c r="O41" s="746">
        <v>58443642.810000002</v>
      </c>
      <c r="P41" s="734">
        <v>61599599.521739975</v>
      </c>
      <c r="Q41" s="736">
        <v>64925977.895913944</v>
      </c>
    </row>
    <row r="42" spans="1:17" ht="12.75" customHeight="1" x14ac:dyDescent="0.25">
      <c r="A42" s="86" t="s">
        <v>858</v>
      </c>
      <c r="B42" s="40"/>
      <c r="C42" s="754">
        <v>3702678.2499999995</v>
      </c>
      <c r="D42" s="734">
        <v>5060454.7100000009</v>
      </c>
      <c r="E42" s="734">
        <v>6373729.5599999996</v>
      </c>
      <c r="F42" s="734">
        <v>6601145.8099999996</v>
      </c>
      <c r="G42" s="734">
        <v>6983303.4100000001</v>
      </c>
      <c r="H42" s="734">
        <v>12138946.361218454</v>
      </c>
      <c r="I42" s="734">
        <v>5430614.8179923166</v>
      </c>
      <c r="J42" s="734">
        <v>2579298.8910211031</v>
      </c>
      <c r="K42" s="734">
        <v>8155135.5554968445</v>
      </c>
      <c r="L42" s="734">
        <v>2227343.2537418571</v>
      </c>
      <c r="M42" s="734">
        <v>7557764.7462705281</v>
      </c>
      <c r="N42" s="108">
        <f t="shared" si="4"/>
        <v>7434466.6342588961</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1614239</v>
      </c>
      <c r="E44" s="734">
        <v>1249524.98</v>
      </c>
      <c r="F44" s="734">
        <v>948050.62999999989</v>
      </c>
      <c r="G44" s="734">
        <v>2677251</v>
      </c>
      <c r="H44" s="734">
        <v>3389189.8127982966</v>
      </c>
      <c r="I44" s="734">
        <v>815850.27481946594</v>
      </c>
      <c r="J44" s="734">
        <v>3304170.332626868</v>
      </c>
      <c r="K44" s="734">
        <v>1029661.6161324328</v>
      </c>
      <c r="L44" s="734">
        <v>3611356.4648291441</v>
      </c>
      <c r="M44" s="734">
        <v>5857391.5215707161</v>
      </c>
      <c r="N44" s="108">
        <f t="shared" si="4"/>
        <v>9599326.8972230777</v>
      </c>
      <c r="O44" s="746">
        <v>35047673</v>
      </c>
      <c r="P44" s="734">
        <v>35684971.342</v>
      </c>
      <c r="Q44" s="736">
        <v>23280129.794468001</v>
      </c>
    </row>
    <row r="45" spans="1:17" ht="12.75" customHeight="1" x14ac:dyDescent="0.25">
      <c r="A45" s="86" t="s">
        <v>859</v>
      </c>
      <c r="B45" s="40"/>
      <c r="C45" s="754">
        <v>52973162</v>
      </c>
      <c r="D45" s="734">
        <v>56253187</v>
      </c>
      <c r="E45" s="734">
        <v>22974137</v>
      </c>
      <c r="F45" s="734">
        <v>27145010</v>
      </c>
      <c r="G45" s="734">
        <v>20162854.039999999</v>
      </c>
      <c r="H45" s="734">
        <v>12746196.088786038</v>
      </c>
      <c r="I45" s="734">
        <v>8189697.0541765215</v>
      </c>
      <c r="J45" s="734">
        <v>9234873.7162278984</v>
      </c>
      <c r="K45" s="734">
        <v>7087738.390835003</v>
      </c>
      <c r="L45" s="734">
        <v>21945266.603422966</v>
      </c>
      <c r="M45" s="734">
        <v>8801203.9542898666</v>
      </c>
      <c r="N45" s="108">
        <f t="shared" si="4"/>
        <v>-111769779.84773827</v>
      </c>
      <c r="O45" s="746">
        <v>135743546</v>
      </c>
      <c r="P45" s="734">
        <v>137529140</v>
      </c>
      <c r="Q45" s="736">
        <v>209241558</v>
      </c>
    </row>
    <row r="46" spans="1:17" ht="12.75" customHeight="1" x14ac:dyDescent="0.25">
      <c r="A46" s="88" t="s">
        <v>949</v>
      </c>
      <c r="B46" s="52">
        <f>SUM(B36:B45)</f>
        <v>0</v>
      </c>
      <c r="C46" s="475">
        <f>SUM(C36:C45)</f>
        <v>160104987.92910936</v>
      </c>
      <c r="D46" s="430">
        <f t="shared" ref="D46:Q46" si="5">SUM(D36:D45)</f>
        <v>107425681.31999999</v>
      </c>
      <c r="E46" s="430">
        <f t="shared" si="5"/>
        <v>121216516.53999999</v>
      </c>
      <c r="F46" s="430">
        <f t="shared" si="5"/>
        <v>79747455.569999993</v>
      </c>
      <c r="G46" s="430">
        <f t="shared" si="5"/>
        <v>86967035.849999994</v>
      </c>
      <c r="H46" s="430">
        <f t="shared" si="5"/>
        <v>93791429.965829849</v>
      </c>
      <c r="I46" s="430">
        <f t="shared" si="5"/>
        <v>82508140.213534012</v>
      </c>
      <c r="J46" s="430">
        <f t="shared" si="5"/>
        <v>77628380.489725545</v>
      </c>
      <c r="K46" s="430">
        <f t="shared" si="5"/>
        <v>86075525.160654157</v>
      </c>
      <c r="L46" s="430">
        <f t="shared" si="5"/>
        <v>91939211.900290072</v>
      </c>
      <c r="M46" s="430">
        <f t="shared" si="5"/>
        <v>80357243.547581792</v>
      </c>
      <c r="N46" s="508">
        <f t="shared" si="5"/>
        <v>43036786.323275298</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24246351.16</v>
      </c>
      <c r="E49" s="734">
        <v>4790238.71</v>
      </c>
      <c r="F49" s="734">
        <v>4804471.47</v>
      </c>
      <c r="G49" s="734">
        <v>9915031.4600000009</v>
      </c>
      <c r="H49" s="734">
        <v>25958231.99267352</v>
      </c>
      <c r="I49" s="734">
        <v>399811.25853370689</v>
      </c>
      <c r="J49" s="734">
        <v>14266338.007173449</v>
      </c>
      <c r="K49" s="734">
        <v>17674684.207717944</v>
      </c>
      <c r="L49" s="734">
        <v>9341106.3602419719</v>
      </c>
      <c r="M49" s="734">
        <v>4112506.2486829832</v>
      </c>
      <c r="N49" s="108">
        <f>O49-SUM(C49:M49)</f>
        <v>16021338.894976437</v>
      </c>
      <c r="O49" s="746">
        <v>137084850</v>
      </c>
      <c r="P49" s="734">
        <v>152879390</v>
      </c>
      <c r="Q49" s="736">
        <v>130956282.06</v>
      </c>
    </row>
    <row r="50" spans="1:17" ht="12.75" customHeight="1" x14ac:dyDescent="0.25">
      <c r="A50" s="86" t="s">
        <v>913</v>
      </c>
      <c r="B50" s="40"/>
      <c r="C50" s="754">
        <v>296527.13</v>
      </c>
      <c r="D50" s="734">
        <v>152267.68</v>
      </c>
      <c r="E50" s="734">
        <v>15147561</v>
      </c>
      <c r="F50" s="734">
        <v>148407.10999999999</v>
      </c>
      <c r="G50" s="734">
        <v>160251.01999999999</v>
      </c>
      <c r="H50" s="734">
        <v>7964639.3810947156</v>
      </c>
      <c r="I50" s="734">
        <v>483205.71086881118</v>
      </c>
      <c r="J50" s="734">
        <v>438784.93759237102</v>
      </c>
      <c r="K50" s="734">
        <v>33579.546555549401</v>
      </c>
      <c r="L50" s="734">
        <v>1700669.6154125228</v>
      </c>
      <c r="M50" s="734">
        <v>3369009.598420715</v>
      </c>
      <c r="N50" s="108">
        <f>O50-SUM(C50:M50)</f>
        <v>-4579675.0199446827</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230956255.28910935</v>
      </c>
      <c r="D52" s="73">
        <f t="shared" si="6"/>
        <v>131824300.16</v>
      </c>
      <c r="E52" s="73">
        <f t="shared" si="6"/>
        <v>141154316.25</v>
      </c>
      <c r="F52" s="73">
        <f t="shared" si="6"/>
        <v>84700334.149999991</v>
      </c>
      <c r="G52" s="73">
        <f t="shared" si="6"/>
        <v>97042318.329999998</v>
      </c>
      <c r="H52" s="73">
        <f t="shared" si="6"/>
        <v>127714301.33959807</v>
      </c>
      <c r="I52" s="73">
        <f t="shared" si="6"/>
        <v>83391157.182936519</v>
      </c>
      <c r="J52" s="73">
        <f t="shared" si="6"/>
        <v>92333503.434491366</v>
      </c>
      <c r="K52" s="73">
        <f t="shared" si="6"/>
        <v>103783788.91492765</v>
      </c>
      <c r="L52" s="73">
        <f t="shared" si="6"/>
        <v>102980987.87594457</v>
      </c>
      <c r="M52" s="73">
        <f t="shared" si="6"/>
        <v>87838759.394685477</v>
      </c>
      <c r="N52" s="320">
        <f t="shared" si="6"/>
        <v>-10521549.801692948</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26797560.710890651</v>
      </c>
      <c r="D54" s="50">
        <f t="shared" si="7"/>
        <v>-16429990.57337597</v>
      </c>
      <c r="E54" s="50">
        <f t="shared" si="7"/>
        <v>-26051953.150000006</v>
      </c>
      <c r="F54" s="50">
        <f t="shared" si="7"/>
        <v>18443375.120000005</v>
      </c>
      <c r="G54" s="50">
        <f t="shared" si="7"/>
        <v>19450972.640000001</v>
      </c>
      <c r="H54" s="50">
        <f t="shared" si="7"/>
        <v>-69614422.418168604</v>
      </c>
      <c r="I54" s="50">
        <f t="shared" si="7"/>
        <v>-21891903.354188822</v>
      </c>
      <c r="J54" s="50">
        <f t="shared" si="7"/>
        <v>-29010425.097398065</v>
      </c>
      <c r="K54" s="50">
        <f t="shared" si="7"/>
        <v>100490456.13871582</v>
      </c>
      <c r="L54" s="50">
        <f t="shared" si="7"/>
        <v>-44551237.00166849</v>
      </c>
      <c r="M54" s="50">
        <f t="shared" si="7"/>
        <v>-13833002.581316307</v>
      </c>
      <c r="N54" s="110">
        <f t="shared" si="7"/>
        <v>51983947.333409756</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68830571.710890651</v>
      </c>
      <c r="E55" s="44">
        <f t="shared" ref="E55:N55" si="8">D56</f>
        <v>52400581.137514681</v>
      </c>
      <c r="F55" s="44">
        <f t="shared" si="8"/>
        <v>26348627.987514675</v>
      </c>
      <c r="G55" s="44">
        <f t="shared" si="8"/>
        <v>44792003.107514679</v>
      </c>
      <c r="H55" s="44">
        <f t="shared" si="8"/>
        <v>64242975.74751468</v>
      </c>
      <c r="I55" s="44">
        <f t="shared" si="8"/>
        <v>-5371446.6706539243</v>
      </c>
      <c r="J55" s="44">
        <f t="shared" si="8"/>
        <v>-27263350.024842747</v>
      </c>
      <c r="K55" s="44">
        <f t="shared" si="8"/>
        <v>-56273775.122240812</v>
      </c>
      <c r="L55" s="44">
        <f t="shared" si="8"/>
        <v>44216681.016475007</v>
      </c>
      <c r="M55" s="44">
        <f t="shared" si="8"/>
        <v>-334555.98519348353</v>
      </c>
      <c r="N55" s="108">
        <f t="shared" si="8"/>
        <v>-14167558.566509791</v>
      </c>
      <c r="O55" s="46">
        <f>C55</f>
        <v>42033011</v>
      </c>
      <c r="P55" s="44">
        <f>O56</f>
        <v>37816388.766900063</v>
      </c>
      <c r="Q55" s="144">
        <f>P56</f>
        <v>51220916.022886992</v>
      </c>
    </row>
    <row r="56" spans="1:17" ht="12.75" customHeight="1" x14ac:dyDescent="0.25">
      <c r="A56" s="321" t="s">
        <v>678</v>
      </c>
      <c r="B56" s="176"/>
      <c r="C56" s="299">
        <f>C54+C55</f>
        <v>68830571.710890651</v>
      </c>
      <c r="D56" s="115">
        <f>D54+D55</f>
        <v>52400581.137514681</v>
      </c>
      <c r="E56" s="115">
        <f t="shared" ref="E56:N56" si="9">E54+E55</f>
        <v>26348627.987514675</v>
      </c>
      <c r="F56" s="115">
        <f t="shared" si="9"/>
        <v>44792003.107514679</v>
      </c>
      <c r="G56" s="115">
        <f t="shared" si="9"/>
        <v>64242975.74751468</v>
      </c>
      <c r="H56" s="115">
        <f t="shared" si="9"/>
        <v>-5371446.6706539243</v>
      </c>
      <c r="I56" s="115">
        <f t="shared" si="9"/>
        <v>-27263350.024842747</v>
      </c>
      <c r="J56" s="115">
        <f t="shared" si="9"/>
        <v>-56273775.122240812</v>
      </c>
      <c r="K56" s="115">
        <f t="shared" si="9"/>
        <v>44216681.016475007</v>
      </c>
      <c r="L56" s="115">
        <f t="shared" si="9"/>
        <v>-334555.98519348353</v>
      </c>
      <c r="M56" s="115">
        <f t="shared" si="9"/>
        <v>-14167558.566509791</v>
      </c>
      <c r="N56" s="317">
        <f t="shared" si="9"/>
        <v>37816388.766899966</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121216516.53999999</v>
      </c>
      <c r="F65" s="85">
        <f t="shared" si="10"/>
        <v>79747455.569999993</v>
      </c>
      <c r="G65" s="85">
        <f t="shared" si="10"/>
        <v>86967035.849999994</v>
      </c>
      <c r="H65" s="85">
        <f t="shared" si="10"/>
        <v>93791429.965829849</v>
      </c>
      <c r="I65" s="85">
        <f t="shared" si="10"/>
        <v>82508140.213534012</v>
      </c>
      <c r="J65" s="85">
        <f t="shared" si="10"/>
        <v>77628380.489725545</v>
      </c>
      <c r="K65" s="85">
        <f t="shared" si="10"/>
        <v>86075525.160654157</v>
      </c>
      <c r="L65" s="85">
        <f t="shared" si="10"/>
        <v>91939211.900290072</v>
      </c>
      <c r="M65" s="85"/>
      <c r="N65" s="85">
        <f>N46+N64</f>
        <v>43036786.323275298</v>
      </c>
      <c r="O65" s="85">
        <f t="shared" si="10"/>
        <v>1110798394.8099999</v>
      </c>
      <c r="P65" s="85">
        <f t="shared" si="10"/>
        <v>1160901317.49174</v>
      </c>
    </row>
    <row r="66" spans="5:16" x14ac:dyDescent="0.25">
      <c r="E66" s="85">
        <f t="shared" ref="E66:P66" si="11">E54-E64</f>
        <v>-26051953.150000006</v>
      </c>
      <c r="F66" s="85">
        <f t="shared" si="11"/>
        <v>18443375.120000005</v>
      </c>
      <c r="G66" s="85">
        <f t="shared" si="11"/>
        <v>19450972.640000001</v>
      </c>
      <c r="H66" s="85">
        <f t="shared" si="11"/>
        <v>-69614422.418168604</v>
      </c>
      <c r="I66" s="85">
        <f t="shared" si="11"/>
        <v>-21891903.354188822</v>
      </c>
      <c r="J66" s="85">
        <f t="shared" si="11"/>
        <v>-29010425.097398065</v>
      </c>
      <c r="K66" s="85">
        <f t="shared" si="11"/>
        <v>100490456.13871582</v>
      </c>
      <c r="L66" s="85">
        <f t="shared" si="11"/>
        <v>-44551237.00166849</v>
      </c>
      <c r="M66" s="85">
        <f>M54-M64</f>
        <v>-13833002.581316307</v>
      </c>
      <c r="N66" s="85">
        <f>N54-N64</f>
        <v>51983947.333409756</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44" activePane="bottomRight" state="frozen"/>
      <selection pane="topRight"/>
      <selection pane="bottomLeft"/>
      <selection pane="bottomRight" activeCell="H39" sqref="H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"&amp;S71P&amp; " - "&amp;Head57</f>
        <v>LIM333 Greater Tzaneen - Supporting Table SC10 Monthly Budget Statement  - Parent Municipality Financial Performance (revenue and expenditure)  - M05 November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119183221</v>
      </c>
      <c r="D6" s="746">
        <v>112400000</v>
      </c>
      <c r="E6" s="734">
        <v>112400000</v>
      </c>
      <c r="F6" s="734">
        <v>10607108.16</v>
      </c>
      <c r="G6" s="734">
        <v>52595786.630000003</v>
      </c>
      <c r="H6" s="734">
        <v>49319479.100000009</v>
      </c>
      <c r="I6" s="44">
        <f t="shared" ref="I6:I21" si="0">G6-H6</f>
        <v>3276307.5299999937</v>
      </c>
      <c r="J6" s="330">
        <f>IF(I6=0,"",I6/H6)</f>
        <v>6.6430294678436558E-2</v>
      </c>
      <c r="K6" s="736">
        <v>112400000</v>
      </c>
    </row>
    <row r="7" spans="1:11" ht="12.75" customHeight="1" x14ac:dyDescent="0.25">
      <c r="A7" s="39" t="str">
        <f>'C4-FinPerf RE'!A7</f>
        <v>Service charges - electricity revenue</v>
      </c>
      <c r="B7" s="169"/>
      <c r="C7" s="749">
        <v>449863850.95999998</v>
      </c>
      <c r="D7" s="746">
        <v>577331000</v>
      </c>
      <c r="E7" s="734">
        <v>570331000</v>
      </c>
      <c r="F7" s="734">
        <v>45324354.920000002</v>
      </c>
      <c r="G7" s="734">
        <v>256496688.68000001</v>
      </c>
      <c r="H7" s="734">
        <v>229881780.12</v>
      </c>
      <c r="I7" s="44">
        <f t="shared" si="0"/>
        <v>26614908.560000002</v>
      </c>
      <c r="J7" s="330">
        <f t="shared" ref="J7:J22" si="1">IF(I7=0,"",I7/H7)</f>
        <v>0.11577650280116511</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v>33052322</v>
      </c>
      <c r="D10" s="746">
        <v>33721657</v>
      </c>
      <c r="E10" s="746">
        <v>33721657</v>
      </c>
      <c r="F10" s="734">
        <v>2974054.24</v>
      </c>
      <c r="G10" s="734">
        <v>14299396.779999999</v>
      </c>
      <c r="H10" s="734">
        <v>14158562.91</v>
      </c>
      <c r="I10" s="44">
        <f t="shared" si="0"/>
        <v>140833.86999999918</v>
      </c>
      <c r="J10" s="330">
        <f t="shared" si="1"/>
        <v>9.9469042794258552E-3</v>
      </c>
      <c r="K10" s="736">
        <v>33721657</v>
      </c>
    </row>
    <row r="11" spans="1:11" ht="0.95" customHeight="1" x14ac:dyDescent="0.25">
      <c r="A11" s="86"/>
      <c r="B11" s="171"/>
      <c r="C11" s="649"/>
      <c r="D11" s="650"/>
      <c r="E11" s="408"/>
      <c r="F11" s="408"/>
      <c r="G11" s="408"/>
      <c r="H11" s="408"/>
      <c r="I11" s="408"/>
      <c r="J11" s="949"/>
      <c r="K11" s="643"/>
    </row>
    <row r="12" spans="1:11" ht="12.75" customHeight="1" x14ac:dyDescent="0.25">
      <c r="A12" s="86" t="str">
        <f>'C4-FinPerf RE'!A12</f>
        <v>Rental of facilities and equipment</v>
      </c>
      <c r="B12" s="171"/>
      <c r="C12" s="749">
        <v>2132852.52</v>
      </c>
      <c r="D12" s="746">
        <v>1972100</v>
      </c>
      <c r="E12" s="734">
        <v>1972100</v>
      </c>
      <c r="F12" s="734">
        <v>-30774.17</v>
      </c>
      <c r="G12" s="734">
        <v>361545.38</v>
      </c>
      <c r="H12" s="734">
        <v>1026715.73</v>
      </c>
      <c r="I12" s="44">
        <f t="shared" si="0"/>
        <v>-665170.35</v>
      </c>
      <c r="J12" s="330">
        <f t="shared" si="1"/>
        <v>-0.64786223738872684</v>
      </c>
      <c r="K12" s="736">
        <v>1972100</v>
      </c>
    </row>
    <row r="13" spans="1:11" ht="12.75" customHeight="1" x14ac:dyDescent="0.25">
      <c r="A13" s="86" t="str">
        <f>'C4-FinPerf RE'!A13</f>
        <v>Interest earned - external investments</v>
      </c>
      <c r="B13" s="171"/>
      <c r="C13" s="749">
        <v>9615814.0199999996</v>
      </c>
      <c r="D13" s="746">
        <v>4301000</v>
      </c>
      <c r="E13" s="734">
        <v>4301000</v>
      </c>
      <c r="F13" s="734">
        <v>181583.96</v>
      </c>
      <c r="G13" s="734">
        <v>1906352.58</v>
      </c>
      <c r="H13" s="734">
        <v>2055089</v>
      </c>
      <c r="I13" s="44">
        <f t="shared" si="0"/>
        <v>-148736.41999999993</v>
      </c>
      <c r="J13" s="330">
        <f t="shared" si="1"/>
        <v>-7.2374685475908793E-2</v>
      </c>
      <c r="K13" s="736">
        <v>4301000</v>
      </c>
    </row>
    <row r="14" spans="1:11" ht="12.75" customHeight="1" x14ac:dyDescent="0.25">
      <c r="A14" s="86" t="str">
        <f>'C4-FinPerf RE'!A14</f>
        <v>Interest earned - outstanding debtors</v>
      </c>
      <c r="B14" s="171"/>
      <c r="C14" s="749">
        <v>17826053.129999999</v>
      </c>
      <c r="D14" s="746">
        <v>17000000</v>
      </c>
      <c r="E14" s="734">
        <v>17000000</v>
      </c>
      <c r="F14" s="734">
        <v>1891511.48</v>
      </c>
      <c r="G14" s="734">
        <v>10156369.35</v>
      </c>
      <c r="H14" s="734">
        <v>9352279.3000000007</v>
      </c>
      <c r="I14" s="44">
        <f t="shared" si="0"/>
        <v>804090.04999999888</v>
      </c>
      <c r="J14" s="330">
        <f t="shared" si="1"/>
        <v>8.5977976513169241E-2</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v>32189439.129999999</v>
      </c>
      <c r="D16" s="746">
        <v>38501136</v>
      </c>
      <c r="E16" s="734">
        <v>38501136</v>
      </c>
      <c r="F16" s="734">
        <v>210392.08</v>
      </c>
      <c r="G16" s="734">
        <v>899526.56</v>
      </c>
      <c r="H16" s="734">
        <v>1306250.3500000001</v>
      </c>
      <c r="I16" s="44">
        <f t="shared" si="0"/>
        <v>-406723.79000000004</v>
      </c>
      <c r="J16" s="330">
        <f t="shared" si="1"/>
        <v>-0.31136741130825346</v>
      </c>
      <c r="K16" s="736">
        <v>38501136</v>
      </c>
    </row>
    <row r="17" spans="1:11" ht="12.75" customHeight="1" x14ac:dyDescent="0.25">
      <c r="A17" s="86" t="str">
        <f>'C4-FinPerf RE'!A17</f>
        <v>Licences and permits</v>
      </c>
      <c r="B17" s="171"/>
      <c r="C17" s="749">
        <v>1020674.22</v>
      </c>
      <c r="D17" s="746">
        <v>817000</v>
      </c>
      <c r="E17" s="734">
        <v>817000</v>
      </c>
      <c r="F17" s="734">
        <v>178028.92</v>
      </c>
      <c r="G17" s="734">
        <v>684515.73</v>
      </c>
      <c r="H17" s="734">
        <v>379263.34</v>
      </c>
      <c r="I17" s="44">
        <f t="shared" si="0"/>
        <v>305252.38999999996</v>
      </c>
      <c r="J17" s="330">
        <f t="shared" si="1"/>
        <v>0.80485604013295864</v>
      </c>
      <c r="K17" s="736">
        <v>817000</v>
      </c>
    </row>
    <row r="18" spans="1:11" ht="12.75" customHeight="1" x14ac:dyDescent="0.25">
      <c r="A18" s="86" t="str">
        <f>'C4-FinPerf RE'!A18</f>
        <v>Agency services</v>
      </c>
      <c r="B18" s="171"/>
      <c r="C18" s="749">
        <v>9254073.7599999998</v>
      </c>
      <c r="D18" s="746">
        <v>53664291</v>
      </c>
      <c r="E18" s="734">
        <v>53664291</v>
      </c>
      <c r="F18" s="734">
        <v>4785156.4800000004</v>
      </c>
      <c r="G18" s="734">
        <v>28109978.940000001</v>
      </c>
      <c r="H18" s="734">
        <v>20203464.620000001</v>
      </c>
      <c r="I18" s="44">
        <f t="shared" si="0"/>
        <v>7906514.3200000003</v>
      </c>
      <c r="J18" s="330">
        <f t="shared" si="1"/>
        <v>0.39134447822246837</v>
      </c>
      <c r="K18" s="736">
        <v>53664291</v>
      </c>
    </row>
    <row r="19" spans="1:11" ht="12.75" customHeight="1" x14ac:dyDescent="0.25">
      <c r="A19" s="86" t="str">
        <f>'C4-FinPerf RE'!A19</f>
        <v>Transfers and subsidies</v>
      </c>
      <c r="B19" s="171"/>
      <c r="C19" s="749">
        <v>356544299.81</v>
      </c>
      <c r="D19" s="746">
        <v>416300150</v>
      </c>
      <c r="E19" s="734">
        <v>417337256.26999998</v>
      </c>
      <c r="F19" s="734">
        <v>10588000</v>
      </c>
      <c r="G19" s="734">
        <v>178043000</v>
      </c>
      <c r="H19" s="734">
        <v>153977000</v>
      </c>
      <c r="I19" s="44">
        <f t="shared" si="0"/>
        <v>24066000</v>
      </c>
      <c r="J19" s="330">
        <f t="shared" si="1"/>
        <v>0.15629607019230143</v>
      </c>
      <c r="K19" s="736">
        <v>416300150</v>
      </c>
    </row>
    <row r="20" spans="1:11" ht="12.75" customHeight="1" x14ac:dyDescent="0.25">
      <c r="A20" s="86" t="str">
        <f>'C4-FinPerf RE'!A20</f>
        <v>Other revenue</v>
      </c>
      <c r="B20" s="171"/>
      <c r="C20" s="749">
        <v>28520193</v>
      </c>
      <c r="D20" s="746">
        <v>13618123</v>
      </c>
      <c r="E20" s="734">
        <v>13618123</v>
      </c>
      <c r="F20" s="734">
        <v>148732.53</v>
      </c>
      <c r="G20" s="734">
        <v>2106869.11</v>
      </c>
      <c r="H20" s="734">
        <v>1550441.35</v>
      </c>
      <c r="I20" s="44">
        <f t="shared" si="0"/>
        <v>556427.75999999978</v>
      </c>
      <c r="J20" s="330">
        <f t="shared" si="1"/>
        <v>0.3588834624411944</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1059202793.5500001</v>
      </c>
      <c r="D22" s="74">
        <f t="shared" si="2"/>
        <v>1269626457</v>
      </c>
      <c r="E22" s="73">
        <f t="shared" si="2"/>
        <v>1263663563.27</v>
      </c>
      <c r="F22" s="73">
        <f t="shared" si="2"/>
        <v>76858148.599999994</v>
      </c>
      <c r="G22" s="73">
        <f t="shared" si="2"/>
        <v>545660029.74000001</v>
      </c>
      <c r="H22" s="73">
        <f t="shared" si="2"/>
        <v>483210325.82000005</v>
      </c>
      <c r="I22" s="73">
        <f>G22-H22</f>
        <v>62449703.919999957</v>
      </c>
      <c r="J22" s="331">
        <f t="shared" si="1"/>
        <v>0.12923917512322161</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295232470.99999994</v>
      </c>
      <c r="D25" s="746">
        <v>357557390.95999998</v>
      </c>
      <c r="E25" s="734">
        <v>325483419.34999996</v>
      </c>
      <c r="F25" s="734">
        <v>25876784.199999996</v>
      </c>
      <c r="G25" s="734">
        <v>131396530.28000006</v>
      </c>
      <c r="H25" s="734">
        <v>123704100.04000001</v>
      </c>
      <c r="I25" s="44">
        <f t="shared" ref="I25:I44" si="3">G25-H25</f>
        <v>7692430.2400000542</v>
      </c>
      <c r="J25" s="330">
        <f t="shared" ref="J25:J44" si="4">IF(I25=0,"",I25/H25)</f>
        <v>6.2184117078679602E-2</v>
      </c>
      <c r="K25" s="736">
        <v>357557390.95999998</v>
      </c>
    </row>
    <row r="26" spans="1:11" ht="12.75" customHeight="1" x14ac:dyDescent="0.25">
      <c r="A26" s="39" t="str">
        <f>'C4-FinPerf RE'!A26</f>
        <v>Remuneration of councillors</v>
      </c>
      <c r="B26" s="169"/>
      <c r="C26" s="749">
        <v>26136302</v>
      </c>
      <c r="D26" s="746">
        <v>28967131</v>
      </c>
      <c r="E26" s="734">
        <v>28266131</v>
      </c>
      <c r="F26" s="734">
        <v>2206205.5499999998</v>
      </c>
      <c r="G26" s="734">
        <v>11011376.039999999</v>
      </c>
      <c r="H26" s="734">
        <v>10549768.209999999</v>
      </c>
      <c r="I26" s="44">
        <f t="shared" si="3"/>
        <v>461607.83000000007</v>
      </c>
      <c r="J26" s="330">
        <f t="shared" si="4"/>
        <v>4.3755258012441213E-2</v>
      </c>
      <c r="K26" s="736">
        <v>28967131</v>
      </c>
    </row>
    <row r="27" spans="1:11" ht="12.75" customHeight="1" x14ac:dyDescent="0.25">
      <c r="A27" s="39" t="str">
        <f>'C4-FinPerf RE'!A27</f>
        <v>Debt impairment</v>
      </c>
      <c r="B27" s="171"/>
      <c r="C27" s="749">
        <v>132298457</v>
      </c>
      <c r="D27" s="746">
        <v>72600000</v>
      </c>
      <c r="E27" s="734">
        <v>53057400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v>127724087</v>
      </c>
      <c r="D28" s="746">
        <v>134196513</v>
      </c>
      <c r="E28" s="734">
        <v>130000000</v>
      </c>
      <c r="F28" s="734"/>
      <c r="G28" s="734"/>
      <c r="H28" s="734"/>
      <c r="I28" s="44">
        <f t="shared" si="3"/>
        <v>0</v>
      </c>
      <c r="J28" s="330" t="str">
        <f t="shared" si="4"/>
        <v/>
      </c>
      <c r="K28" s="736">
        <v>134196513</v>
      </c>
    </row>
    <row r="29" spans="1:11" ht="12.75" customHeight="1" x14ac:dyDescent="0.25">
      <c r="A29" s="39" t="str">
        <f>'C4-FinPerf RE'!A29</f>
        <v>Finance charges</v>
      </c>
      <c r="B29" s="171"/>
      <c r="C29" s="749">
        <v>11973760</v>
      </c>
      <c r="D29" s="746">
        <v>14658314</v>
      </c>
      <c r="E29" s="734">
        <v>14658314</v>
      </c>
      <c r="F29" s="734">
        <v>159400.17000000001</v>
      </c>
      <c r="G29" s="734">
        <v>4609050.4000000004</v>
      </c>
      <c r="H29" s="734">
        <v>2928583.55</v>
      </c>
      <c r="I29" s="44">
        <f t="shared" si="3"/>
        <v>1680466.8500000006</v>
      </c>
      <c r="J29" s="330">
        <f t="shared" si="4"/>
        <v>0.57381557374383285</v>
      </c>
      <c r="K29" s="736">
        <v>14658314</v>
      </c>
    </row>
    <row r="30" spans="1:11" ht="12.75" customHeight="1" x14ac:dyDescent="0.25">
      <c r="A30" s="39" t="str">
        <f>'C4-FinPerf RE'!A30</f>
        <v>Bulk purchases</v>
      </c>
      <c r="B30" s="171"/>
      <c r="C30" s="749">
        <v>348443869</v>
      </c>
      <c r="D30" s="746">
        <v>403000000</v>
      </c>
      <c r="E30" s="734">
        <v>403000000</v>
      </c>
      <c r="F30" s="734">
        <v>22181115.140000001</v>
      </c>
      <c r="G30" s="734">
        <v>92660616</v>
      </c>
      <c r="H30" s="734">
        <v>80607715.849999994</v>
      </c>
      <c r="I30" s="44">
        <f t="shared" si="3"/>
        <v>12052900.150000006</v>
      </c>
      <c r="J30" s="330">
        <f t="shared" si="4"/>
        <v>0.14952539000644574</v>
      </c>
      <c r="K30" s="736">
        <v>403000000</v>
      </c>
    </row>
    <row r="31" spans="1:11" ht="12.75" customHeight="1" x14ac:dyDescent="0.25">
      <c r="A31" s="39" t="str">
        <f>'C4-FinPerf RE'!A31</f>
        <v>Other materials</v>
      </c>
      <c r="B31" s="171"/>
      <c r="C31" s="749">
        <v>42157906</v>
      </c>
      <c r="D31" s="746">
        <v>71608248.810000002</v>
      </c>
      <c r="E31" s="734">
        <v>54968561.810000002</v>
      </c>
      <c r="F31" s="734">
        <v>5728396.9199999999</v>
      </c>
      <c r="G31" s="734">
        <v>19007593.700000007</v>
      </c>
      <c r="H31" s="734">
        <v>13314578.690000001</v>
      </c>
      <c r="I31" s="44">
        <f t="shared" si="3"/>
        <v>5693015.0100000054</v>
      </c>
      <c r="J31" s="330">
        <f t="shared" si="4"/>
        <v>0.42757755559143457</v>
      </c>
      <c r="K31" s="736">
        <v>71608248.810000002</v>
      </c>
    </row>
    <row r="32" spans="1:11" ht="12.75" customHeight="1" x14ac:dyDescent="0.25">
      <c r="A32" s="39" t="str">
        <f>'C4-FinPerf RE'!A32</f>
        <v>Contracted services</v>
      </c>
      <c r="B32" s="171"/>
      <c r="C32" s="749">
        <v>51435443</v>
      </c>
      <c r="D32" s="746">
        <v>74244882</v>
      </c>
      <c r="E32" s="734">
        <v>67815519</v>
      </c>
      <c r="F32" s="734">
        <v>6540854.6500000013</v>
      </c>
      <c r="G32" s="734">
        <v>26295753.869999997</v>
      </c>
      <c r="H32" s="734">
        <v>18402835.810000002</v>
      </c>
      <c r="I32" s="44">
        <f t="shared" si="3"/>
        <v>7892918.0599999949</v>
      </c>
      <c r="J32" s="330">
        <f t="shared" si="4"/>
        <v>0.42889683641643023</v>
      </c>
      <c r="K32" s="736">
        <v>74244882</v>
      </c>
    </row>
    <row r="33" spans="1:11" ht="12.75" customHeight="1" x14ac:dyDescent="0.25">
      <c r="A33" s="39" t="str">
        <f>'C4-FinPerf RE'!A33</f>
        <v>Transfers and subsidies</v>
      </c>
      <c r="B33" s="171"/>
      <c r="C33" s="749">
        <v>50297361</v>
      </c>
      <c r="D33" s="746">
        <v>36021812</v>
      </c>
      <c r="E33" s="734">
        <v>34666106.270000003</v>
      </c>
      <c r="F33" s="734">
        <v>2677251</v>
      </c>
      <c r="G33" s="734">
        <v>7440726.0800000001</v>
      </c>
      <c r="H33" s="734">
        <v>5316296.6499999994</v>
      </c>
      <c r="I33" s="44">
        <f t="shared" si="3"/>
        <v>2124429.4300000006</v>
      </c>
      <c r="J33" s="330">
        <f t="shared" si="4"/>
        <v>0.39960701402921162</v>
      </c>
      <c r="K33" s="736">
        <v>36021812</v>
      </c>
    </row>
    <row r="34" spans="1:11" ht="12.75" customHeight="1" x14ac:dyDescent="0.25">
      <c r="A34" s="39" t="str">
        <f>'C4-FinPerf RE'!A34</f>
        <v>Other expenditure</v>
      </c>
      <c r="B34" s="171"/>
      <c r="C34" s="749">
        <v>126645010</v>
      </c>
      <c r="D34" s="746">
        <v>121042687.19000001</v>
      </c>
      <c r="E34" s="734">
        <v>116630180.19000001</v>
      </c>
      <c r="F34" s="734">
        <v>13574117.520000007</v>
      </c>
      <c r="G34" s="734">
        <v>62957353.730000064</v>
      </c>
      <c r="H34" s="734">
        <v>62269266.779999979</v>
      </c>
      <c r="I34" s="44">
        <f t="shared" si="3"/>
        <v>688086.95000008494</v>
      </c>
      <c r="J34" s="330">
        <f t="shared" si="4"/>
        <v>1.1050185518180678E-2</v>
      </c>
      <c r="K34" s="736">
        <v>121042687.19000001</v>
      </c>
    </row>
    <row r="35" spans="1:11" ht="12.75" customHeight="1" x14ac:dyDescent="0.25">
      <c r="A35" s="39" t="str">
        <f>'C4-FinPerf RE'!A35</f>
        <v>Loss on disposal of PPE</v>
      </c>
      <c r="B35" s="169"/>
      <c r="C35" s="749"/>
      <c r="D35" s="746"/>
      <c r="E35" s="734"/>
      <c r="F35" s="734"/>
      <c r="G35" s="734"/>
      <c r="H35" s="734"/>
      <c r="I35" s="44">
        <f t="shared" si="3"/>
        <v>0</v>
      </c>
      <c r="J35" s="330" t="str">
        <f t="shared" si="4"/>
        <v/>
      </c>
      <c r="K35" s="736"/>
    </row>
    <row r="36" spans="1:11" ht="12.75" customHeight="1" x14ac:dyDescent="0.25">
      <c r="A36" s="350" t="s">
        <v>495</v>
      </c>
      <c r="B36" s="570"/>
      <c r="C36" s="243">
        <f t="shared" ref="C36:H36" si="5">SUM(C25:C35)</f>
        <v>1212344666</v>
      </c>
      <c r="D36" s="74">
        <f t="shared" si="5"/>
        <v>1313896978.96</v>
      </c>
      <c r="E36" s="73">
        <f t="shared" si="5"/>
        <v>1228545631.6199999</v>
      </c>
      <c r="F36" s="73">
        <f t="shared" si="5"/>
        <v>78944125.150000006</v>
      </c>
      <c r="G36" s="73">
        <f t="shared" si="5"/>
        <v>355379000.10000014</v>
      </c>
      <c r="H36" s="73">
        <f t="shared" si="5"/>
        <v>317093145.57999998</v>
      </c>
      <c r="I36" s="73">
        <f t="shared" si="3"/>
        <v>38285854.52000016</v>
      </c>
      <c r="J36" s="331">
        <f t="shared" si="4"/>
        <v>0.12074008868899046</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-153141872.44999993</v>
      </c>
      <c r="D38" s="46">
        <f t="shared" si="6"/>
        <v>-44270521.960000038</v>
      </c>
      <c r="E38" s="44">
        <f t="shared" si="6"/>
        <v>35117931.650000095</v>
      </c>
      <c r="F38" s="44">
        <f t="shared" si="6"/>
        <v>-2085976.5500000119</v>
      </c>
      <c r="G38" s="44">
        <f t="shared" si="6"/>
        <v>190281029.63999987</v>
      </c>
      <c r="H38" s="44">
        <f t="shared" si="6"/>
        <v>166117180.24000007</v>
      </c>
      <c r="I38" s="44">
        <f t="shared" si="3"/>
        <v>24163849.399999797</v>
      </c>
      <c r="J38" s="330">
        <f t="shared" si="4"/>
        <v>0.1454626749929703</v>
      </c>
      <c r="K38" s="144">
        <f>K22-K36</f>
        <v>-44270521.960000038</v>
      </c>
    </row>
    <row r="39" spans="1:11" ht="21.6" customHeight="1" x14ac:dyDescent="0.25">
      <c r="A39" s="111" t="str">
        <f>'C4-FinPerf RE'!A39</f>
        <v>Transfers and subsidies - capital (monetary allocations) (National / Provincial and District)</v>
      </c>
      <c r="B39" s="169"/>
      <c r="C39" s="749">
        <v>76150621.189999998</v>
      </c>
      <c r="D39" s="746">
        <v>89549850</v>
      </c>
      <c r="E39" s="734">
        <v>89549850</v>
      </c>
      <c r="F39" s="734">
        <v>32482000</v>
      </c>
      <c r="G39" s="734">
        <v>63718000</v>
      </c>
      <c r="H39" s="734">
        <v>55389000</v>
      </c>
      <c r="I39" s="44">
        <f t="shared" si="3"/>
        <v>8329000</v>
      </c>
      <c r="J39" s="330">
        <f t="shared" si="4"/>
        <v>0.15037281770748703</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-76991251.259999931</v>
      </c>
      <c r="D42" s="573">
        <f t="shared" ref="D42:K42" si="7">D38+SUM(D39:D41)</f>
        <v>45279328.039999962</v>
      </c>
      <c r="E42" s="514">
        <f t="shared" si="7"/>
        <v>124667781.6500001</v>
      </c>
      <c r="F42" s="514">
        <f t="shared" si="7"/>
        <v>30396023.449999988</v>
      </c>
      <c r="G42" s="514">
        <f t="shared" si="7"/>
        <v>253999029.63999987</v>
      </c>
      <c r="H42" s="514">
        <f t="shared" si="7"/>
        <v>221506180.24000007</v>
      </c>
      <c r="I42" s="514">
        <f t="shared" si="3"/>
        <v>32492849.399999797</v>
      </c>
      <c r="J42" s="515">
        <f t="shared" si="4"/>
        <v>0.1466904867611101</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-76991251.259999931</v>
      </c>
      <c r="D44" s="56">
        <f t="shared" si="8"/>
        <v>45279328.039999962</v>
      </c>
      <c r="E44" s="55">
        <f t="shared" si="8"/>
        <v>124667781.6500001</v>
      </c>
      <c r="F44" s="55">
        <f t="shared" si="8"/>
        <v>30396023.449999988</v>
      </c>
      <c r="G44" s="55">
        <f t="shared" si="8"/>
        <v>253999029.63999987</v>
      </c>
      <c r="H44" s="55">
        <f t="shared" si="8"/>
        <v>221506180.24000007</v>
      </c>
      <c r="I44" s="55">
        <f t="shared" si="3"/>
        <v>32492849.399999797</v>
      </c>
      <c r="J44" s="332">
        <f t="shared" si="4"/>
        <v>0.1466904867611101</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44"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"&amp;S71Q&amp; " - "&amp;Head57</f>
        <v>LIM333 Greater Tzaneen - Supporting Table SC11 Monthly Budget Statement - summary of municipal entities - M05 November</v>
      </c>
      <c r="B1" s="1035"/>
      <c r="C1" s="1035"/>
      <c r="D1" s="1035"/>
      <c r="E1" s="1035"/>
      <c r="F1" s="1035"/>
      <c r="G1" s="1035"/>
      <c r="H1" s="1035"/>
      <c r="I1" s="1035"/>
      <c r="J1" s="1035"/>
      <c r="K1" s="1035"/>
    </row>
    <row r="2" spans="1:11" x14ac:dyDescent="0.25">
      <c r="A2" s="1024" t="str">
        <f>desc</f>
        <v>Description</v>
      </c>
      <c r="B2" s="1017" t="str">
        <f>head27</f>
        <v>Ref</v>
      </c>
      <c r="C2" s="158" t="str">
        <f>Head1</f>
        <v>2018/19</v>
      </c>
      <c r="D2" s="1019" t="str">
        <f>Head2</f>
        <v>Budget Year 2019/20</v>
      </c>
      <c r="E2" s="1020"/>
      <c r="F2" s="1020"/>
      <c r="G2" s="1020"/>
      <c r="H2" s="1020"/>
      <c r="I2" s="1020"/>
      <c r="J2" s="1020"/>
      <c r="K2" s="1021"/>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2" t="s">
        <v>79</v>
      </c>
      <c r="B6" s="169"/>
      <c r="C6" s="749"/>
      <c r="D6" s="754"/>
      <c r="E6" s="734"/>
      <c r="F6" s="734"/>
      <c r="G6" s="734"/>
      <c r="H6" s="734"/>
      <c r="I6" s="44">
        <f t="shared" ref="I6:I41" si="0">G6-H6</f>
        <v>0</v>
      </c>
      <c r="J6" s="330" t="str">
        <f>IF(I6=0,"",I6/H6)</f>
        <v/>
      </c>
      <c r="K6" s="736"/>
    </row>
    <row r="7" spans="1:11" ht="12.75" customHeight="1" x14ac:dyDescent="0.25">
      <c r="A7" s="775"/>
      <c r="B7" s="169"/>
      <c r="C7" s="749"/>
      <c r="D7" s="754"/>
      <c r="E7" s="734"/>
      <c r="F7" s="734"/>
      <c r="G7" s="734"/>
      <c r="H7" s="734"/>
      <c r="I7" s="44">
        <f t="shared" si="0"/>
        <v>0</v>
      </c>
      <c r="J7" s="330" t="str">
        <f t="shared" ref="J7:J16" si="1">IF(I7=0,"",I7/H7)</f>
        <v/>
      </c>
      <c r="K7" s="736"/>
    </row>
    <row r="8" spans="1:11" ht="12.75" customHeight="1" x14ac:dyDescent="0.25">
      <c r="A8" s="775"/>
      <c r="B8" s="169"/>
      <c r="C8" s="749"/>
      <c r="D8" s="754"/>
      <c r="E8" s="734"/>
      <c r="F8" s="734"/>
      <c r="G8" s="734"/>
      <c r="H8" s="734"/>
      <c r="I8" s="44">
        <f t="shared" si="0"/>
        <v>0</v>
      </c>
      <c r="J8" s="330" t="str">
        <f t="shared" si="1"/>
        <v/>
      </c>
      <c r="K8" s="736"/>
    </row>
    <row r="9" spans="1:11" ht="12.75" customHeight="1" x14ac:dyDescent="0.25">
      <c r="A9" s="775"/>
      <c r="B9" s="169"/>
      <c r="C9" s="749"/>
      <c r="D9" s="754"/>
      <c r="E9" s="734"/>
      <c r="F9" s="734"/>
      <c r="G9" s="734"/>
      <c r="H9" s="734"/>
      <c r="I9" s="44">
        <f t="shared" si="0"/>
        <v>0</v>
      </c>
      <c r="J9" s="330" t="str">
        <f t="shared" si="1"/>
        <v/>
      </c>
      <c r="K9" s="736"/>
    </row>
    <row r="10" spans="1:11" ht="12.75" customHeight="1" x14ac:dyDescent="0.25">
      <c r="A10" s="775"/>
      <c r="B10" s="169"/>
      <c r="C10" s="749"/>
      <c r="D10" s="754"/>
      <c r="E10" s="734"/>
      <c r="F10" s="734"/>
      <c r="G10" s="734"/>
      <c r="H10" s="734"/>
      <c r="I10" s="44">
        <f t="shared" si="0"/>
        <v>0</v>
      </c>
      <c r="J10" s="330" t="str">
        <f t="shared" si="1"/>
        <v/>
      </c>
      <c r="K10" s="736"/>
    </row>
    <row r="11" spans="1:11" ht="12.75" customHeight="1" x14ac:dyDescent="0.25">
      <c r="A11" s="775"/>
      <c r="B11" s="169"/>
      <c r="C11" s="749"/>
      <c r="D11" s="754"/>
      <c r="E11" s="734"/>
      <c r="F11" s="734"/>
      <c r="G11" s="734"/>
      <c r="H11" s="734"/>
      <c r="I11" s="44">
        <f t="shared" si="0"/>
        <v>0</v>
      </c>
      <c r="J11" s="330" t="str">
        <f t="shared" si="1"/>
        <v/>
      </c>
      <c r="K11" s="736"/>
    </row>
    <row r="12" spans="1:11" ht="12.75" customHeight="1" x14ac:dyDescent="0.25">
      <c r="A12" s="775"/>
      <c r="B12" s="169"/>
      <c r="C12" s="749"/>
      <c r="D12" s="754"/>
      <c r="E12" s="734"/>
      <c r="F12" s="734"/>
      <c r="G12" s="734"/>
      <c r="H12" s="734"/>
      <c r="I12" s="44">
        <f t="shared" si="0"/>
        <v>0</v>
      </c>
      <c r="J12" s="330" t="str">
        <f t="shared" si="1"/>
        <v/>
      </c>
      <c r="K12" s="736"/>
    </row>
    <row r="13" spans="1:11" ht="12.75" customHeight="1" x14ac:dyDescent="0.25">
      <c r="A13" s="775"/>
      <c r="B13" s="169"/>
      <c r="C13" s="749"/>
      <c r="D13" s="754"/>
      <c r="E13" s="734"/>
      <c r="F13" s="734"/>
      <c r="G13" s="734"/>
      <c r="H13" s="734"/>
      <c r="I13" s="44">
        <f t="shared" si="0"/>
        <v>0</v>
      </c>
      <c r="J13" s="330" t="str">
        <f t="shared" si="1"/>
        <v/>
      </c>
      <c r="K13" s="736"/>
    </row>
    <row r="14" spans="1:11" ht="12.75" customHeight="1" x14ac:dyDescent="0.25">
      <c r="A14" s="775"/>
      <c r="B14" s="169"/>
      <c r="C14" s="749"/>
      <c r="D14" s="754"/>
      <c r="E14" s="734"/>
      <c r="F14" s="734"/>
      <c r="G14" s="734"/>
      <c r="H14" s="734"/>
      <c r="I14" s="44">
        <f t="shared" si="0"/>
        <v>0</v>
      </c>
      <c r="J14" s="330" t="str">
        <f t="shared" si="1"/>
        <v/>
      </c>
      <c r="K14" s="736"/>
    </row>
    <row r="15" spans="1:11" ht="12.75" customHeight="1" x14ac:dyDescent="0.25">
      <c r="A15" s="775"/>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2"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5" t="str">
        <f>IF(A7="","",A7)</f>
        <v/>
      </c>
      <c r="B20" s="171"/>
      <c r="C20" s="749"/>
      <c r="D20" s="754"/>
      <c r="E20" s="734"/>
      <c r="F20" s="734"/>
      <c r="G20" s="734"/>
      <c r="H20" s="734"/>
      <c r="I20" s="44">
        <f t="shared" si="0"/>
        <v>0</v>
      </c>
      <c r="J20" s="330" t="str">
        <f t="shared" si="3"/>
        <v/>
      </c>
      <c r="K20" s="736"/>
    </row>
    <row r="21" spans="1:11" ht="12.75" customHeight="1" x14ac:dyDescent="0.25">
      <c r="A21" s="775" t="str">
        <f t="shared" ref="A21:A28" si="4">IF(A8="","",A8)</f>
        <v/>
      </c>
      <c r="B21" s="171"/>
      <c r="C21" s="749"/>
      <c r="D21" s="754"/>
      <c r="E21" s="734"/>
      <c r="F21" s="734"/>
      <c r="G21" s="734"/>
      <c r="H21" s="734"/>
      <c r="I21" s="44">
        <f t="shared" si="0"/>
        <v>0</v>
      </c>
      <c r="J21" s="330" t="str">
        <f t="shared" si="3"/>
        <v/>
      </c>
      <c r="K21" s="736"/>
    </row>
    <row r="22" spans="1:11" ht="12.75" customHeight="1" x14ac:dyDescent="0.25">
      <c r="A22" s="775" t="str">
        <f t="shared" si="4"/>
        <v/>
      </c>
      <c r="B22" s="171"/>
      <c r="C22" s="749"/>
      <c r="D22" s="754"/>
      <c r="E22" s="734"/>
      <c r="F22" s="734"/>
      <c r="G22" s="734"/>
      <c r="H22" s="734"/>
      <c r="I22" s="44">
        <f t="shared" si="0"/>
        <v>0</v>
      </c>
      <c r="J22" s="330" t="str">
        <f t="shared" si="3"/>
        <v/>
      </c>
      <c r="K22" s="736"/>
    </row>
    <row r="23" spans="1:11" ht="12.75" customHeight="1" x14ac:dyDescent="0.25">
      <c r="A23" s="775" t="str">
        <f t="shared" si="4"/>
        <v/>
      </c>
      <c r="B23" s="171"/>
      <c r="C23" s="749"/>
      <c r="D23" s="754"/>
      <c r="E23" s="734"/>
      <c r="F23" s="734"/>
      <c r="G23" s="734"/>
      <c r="H23" s="734"/>
      <c r="I23" s="44">
        <f t="shared" si="0"/>
        <v>0</v>
      </c>
      <c r="J23" s="330" t="str">
        <f t="shared" si="3"/>
        <v/>
      </c>
      <c r="K23" s="736"/>
    </row>
    <row r="24" spans="1:11" ht="12.75" customHeight="1" x14ac:dyDescent="0.25">
      <c r="A24" s="775" t="str">
        <f t="shared" si="4"/>
        <v/>
      </c>
      <c r="B24" s="171"/>
      <c r="C24" s="749"/>
      <c r="D24" s="754"/>
      <c r="E24" s="734"/>
      <c r="F24" s="734"/>
      <c r="G24" s="734"/>
      <c r="H24" s="734"/>
      <c r="I24" s="44">
        <f t="shared" si="0"/>
        <v>0</v>
      </c>
      <c r="J24" s="330" t="str">
        <f t="shared" si="3"/>
        <v/>
      </c>
      <c r="K24" s="736"/>
    </row>
    <row r="25" spans="1:11" ht="12.75" customHeight="1" x14ac:dyDescent="0.25">
      <c r="A25" s="775" t="str">
        <f t="shared" si="4"/>
        <v/>
      </c>
      <c r="B25" s="171"/>
      <c r="C25" s="749"/>
      <c r="D25" s="754"/>
      <c r="E25" s="734"/>
      <c r="F25" s="734"/>
      <c r="G25" s="734"/>
      <c r="H25" s="734"/>
      <c r="I25" s="44">
        <f t="shared" si="0"/>
        <v>0</v>
      </c>
      <c r="J25" s="330" t="str">
        <f t="shared" si="3"/>
        <v/>
      </c>
      <c r="K25" s="736"/>
    </row>
    <row r="26" spans="1:11" ht="12.75" customHeight="1" x14ac:dyDescent="0.25">
      <c r="A26" s="775" t="str">
        <f t="shared" si="4"/>
        <v/>
      </c>
      <c r="B26" s="171"/>
      <c r="C26" s="749"/>
      <c r="D26" s="754"/>
      <c r="E26" s="734"/>
      <c r="F26" s="734"/>
      <c r="G26" s="734"/>
      <c r="H26" s="734"/>
      <c r="I26" s="44">
        <f t="shared" si="0"/>
        <v>0</v>
      </c>
      <c r="J26" s="330" t="str">
        <f t="shared" si="3"/>
        <v/>
      </c>
      <c r="K26" s="736"/>
    </row>
    <row r="27" spans="1:11" ht="12.75" customHeight="1" x14ac:dyDescent="0.25">
      <c r="A27" s="775" t="str">
        <f t="shared" si="4"/>
        <v/>
      </c>
      <c r="B27" s="171"/>
      <c r="C27" s="749"/>
      <c r="D27" s="754"/>
      <c r="E27" s="734"/>
      <c r="F27" s="734"/>
      <c r="G27" s="734"/>
      <c r="H27" s="734"/>
      <c r="I27" s="44">
        <f t="shared" si="0"/>
        <v>0</v>
      </c>
      <c r="J27" s="330" t="str">
        <f t="shared" si="3"/>
        <v/>
      </c>
      <c r="K27" s="736"/>
    </row>
    <row r="28" spans="1:11" ht="12.75" customHeight="1" x14ac:dyDescent="0.25">
      <c r="A28" s="775"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2" t="str">
        <f>$A$6</f>
        <v>Insert name of municipal entity</v>
      </c>
      <c r="B33" s="171"/>
      <c r="C33" s="749"/>
      <c r="D33" s="754"/>
      <c r="E33" s="734"/>
      <c r="F33" s="734"/>
      <c r="G33" s="734"/>
      <c r="H33" s="734"/>
      <c r="I33" s="44">
        <f t="shared" si="0"/>
        <v>0</v>
      </c>
      <c r="J33" s="330" t="str">
        <f t="shared" si="3"/>
        <v/>
      </c>
      <c r="K33" s="736"/>
    </row>
    <row r="34" spans="1:11" ht="12.75" customHeight="1" x14ac:dyDescent="0.25">
      <c r="A34" s="775" t="str">
        <f>IF(A7="","",A7)</f>
        <v/>
      </c>
      <c r="B34" s="171"/>
      <c r="C34" s="749"/>
      <c r="D34" s="754"/>
      <c r="E34" s="734"/>
      <c r="F34" s="734"/>
      <c r="G34" s="734"/>
      <c r="H34" s="734"/>
      <c r="I34" s="44">
        <f t="shared" si="0"/>
        <v>0</v>
      </c>
      <c r="J34" s="330" t="str">
        <f t="shared" si="3"/>
        <v/>
      </c>
      <c r="K34" s="736"/>
    </row>
    <row r="35" spans="1:11" ht="12.75" customHeight="1" x14ac:dyDescent="0.25">
      <c r="A35" s="775" t="str">
        <f t="shared" ref="A35:A41" si="7">IF(A8="","",A8)</f>
        <v/>
      </c>
      <c r="B35" s="171"/>
      <c r="C35" s="749"/>
      <c r="D35" s="754"/>
      <c r="E35" s="734"/>
      <c r="F35" s="734"/>
      <c r="G35" s="734"/>
      <c r="H35" s="734"/>
      <c r="I35" s="44">
        <f t="shared" si="0"/>
        <v>0</v>
      </c>
      <c r="J35" s="330" t="str">
        <f t="shared" si="3"/>
        <v/>
      </c>
      <c r="K35" s="736"/>
    </row>
    <row r="36" spans="1:11" ht="12.75" customHeight="1" x14ac:dyDescent="0.25">
      <c r="A36" s="775" t="str">
        <f t="shared" si="7"/>
        <v/>
      </c>
      <c r="B36" s="171"/>
      <c r="C36" s="749"/>
      <c r="D36" s="754"/>
      <c r="E36" s="734"/>
      <c r="F36" s="734"/>
      <c r="G36" s="734"/>
      <c r="H36" s="734"/>
      <c r="I36" s="44">
        <f t="shared" si="0"/>
        <v>0</v>
      </c>
      <c r="J36" s="330" t="str">
        <f t="shared" si="3"/>
        <v/>
      </c>
      <c r="K36" s="736"/>
    </row>
    <row r="37" spans="1:11" ht="12.75" customHeight="1" x14ac:dyDescent="0.25">
      <c r="A37" s="775" t="str">
        <f t="shared" si="7"/>
        <v/>
      </c>
      <c r="B37" s="171"/>
      <c r="C37" s="749"/>
      <c r="D37" s="754"/>
      <c r="E37" s="734"/>
      <c r="F37" s="734"/>
      <c r="G37" s="734"/>
      <c r="H37" s="734"/>
      <c r="I37" s="44">
        <f t="shared" si="0"/>
        <v>0</v>
      </c>
      <c r="J37" s="330" t="str">
        <f t="shared" si="3"/>
        <v/>
      </c>
      <c r="K37" s="736"/>
    </row>
    <row r="38" spans="1:11" ht="12.75" customHeight="1" x14ac:dyDescent="0.25">
      <c r="A38" s="775" t="str">
        <f t="shared" si="7"/>
        <v/>
      </c>
      <c r="B38" s="171"/>
      <c r="C38" s="749"/>
      <c r="D38" s="754"/>
      <c r="E38" s="734"/>
      <c r="F38" s="734"/>
      <c r="G38" s="734"/>
      <c r="H38" s="734"/>
      <c r="I38" s="44">
        <f t="shared" si="0"/>
        <v>0</v>
      </c>
      <c r="J38" s="330" t="str">
        <f t="shared" si="3"/>
        <v/>
      </c>
      <c r="K38" s="736"/>
    </row>
    <row r="39" spans="1:11" ht="12.75" customHeight="1" x14ac:dyDescent="0.25">
      <c r="A39" s="775" t="str">
        <f t="shared" si="7"/>
        <v/>
      </c>
      <c r="B39" s="171"/>
      <c r="C39" s="749"/>
      <c r="D39" s="754"/>
      <c r="E39" s="734"/>
      <c r="F39" s="734"/>
      <c r="G39" s="734"/>
      <c r="H39" s="734"/>
      <c r="I39" s="44">
        <f t="shared" si="0"/>
        <v>0</v>
      </c>
      <c r="J39" s="330" t="str">
        <f t="shared" si="3"/>
        <v/>
      </c>
      <c r="K39" s="736"/>
    </row>
    <row r="40" spans="1:11" ht="12.75" customHeight="1" x14ac:dyDescent="0.25">
      <c r="A40" s="775" t="str">
        <f t="shared" si="7"/>
        <v/>
      </c>
      <c r="B40" s="171"/>
      <c r="C40" s="749"/>
      <c r="D40" s="754"/>
      <c r="E40" s="734"/>
      <c r="F40" s="734"/>
      <c r="G40" s="734"/>
      <c r="H40" s="734"/>
      <c r="I40" s="44">
        <f t="shared" si="0"/>
        <v>0</v>
      </c>
      <c r="J40" s="330" t="str">
        <f t="shared" si="3"/>
        <v/>
      </c>
      <c r="K40" s="736"/>
    </row>
    <row r="41" spans="1:11" ht="12.75" customHeight="1" x14ac:dyDescent="0.25">
      <c r="A41" s="775" t="str">
        <f t="shared" si="7"/>
        <v/>
      </c>
      <c r="B41" s="171"/>
      <c r="C41" s="749"/>
      <c r="D41" s="754"/>
      <c r="E41" s="734"/>
      <c r="F41" s="734"/>
      <c r="G41" s="734"/>
      <c r="H41" s="734"/>
      <c r="I41" s="44">
        <f t="shared" si="0"/>
        <v>0</v>
      </c>
      <c r="J41" s="330" t="str">
        <f t="shared" si="3"/>
        <v/>
      </c>
      <c r="K41" s="736"/>
    </row>
    <row r="42" spans="1:11" ht="5.0999999999999996" customHeight="1" x14ac:dyDescent="0.25">
      <c r="A42" s="775"/>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8" activePane="bottomRight" state="frozen"/>
      <selection pane="topRight"/>
      <selection pane="bottomLeft"/>
      <selection pane="bottomRight" activeCell="D6" sqref="D6"/>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5" t="str">
        <f>muni&amp; " - "&amp;S71R&amp; " - "&amp;Head57</f>
        <v>LIM333 Greater Tzaneen - Supporting Table SC12 Consolidated Monthly Budget Statement - capital expenditure trend  - M05 November</v>
      </c>
      <c r="B1" s="1035"/>
      <c r="C1" s="1035"/>
      <c r="D1" s="1035"/>
      <c r="E1" s="1035"/>
      <c r="F1" s="1035"/>
      <c r="G1" s="1035"/>
      <c r="H1" s="1035"/>
      <c r="I1" s="1035"/>
      <c r="J1" s="1035"/>
    </row>
    <row r="2" spans="1:10" x14ac:dyDescent="0.25">
      <c r="A2" s="1024" t="s">
        <v>900</v>
      </c>
      <c r="B2" s="139" t="str">
        <f>Head1</f>
        <v>2018/19</v>
      </c>
      <c r="C2" s="1019" t="str">
        <f>Head2</f>
        <v>Budget Year 2019/20</v>
      </c>
      <c r="D2" s="1020"/>
      <c r="E2" s="1020"/>
      <c r="F2" s="1020"/>
      <c r="G2" s="1020"/>
      <c r="H2" s="1020"/>
      <c r="I2" s="1020"/>
      <c r="J2" s="1021"/>
    </row>
    <row r="3" spans="1:10" ht="38.25" x14ac:dyDescent="0.25">
      <c r="A3" s="102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v>19231011.369999997</v>
      </c>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v>7413792.5199999996</v>
      </c>
      <c r="C7" s="754">
        <v>9540000</v>
      </c>
      <c r="D7" s="734">
        <v>9540000</v>
      </c>
      <c r="E7" s="734">
        <v>24246351.16</v>
      </c>
      <c r="F7" s="408">
        <f>IF(E7&gt;0,E7+F6,"")</f>
        <v>29801091.390000001</v>
      </c>
      <c r="G7" s="408">
        <f>IF(D7&gt;0,D7+D6,C7+C6)</f>
        <v>13137000</v>
      </c>
      <c r="H7" s="44">
        <f t="shared" si="0"/>
        <v>-16664091.390000001</v>
      </c>
      <c r="I7" s="124">
        <f t="shared" si="1"/>
        <v>-1.2684853002968715</v>
      </c>
      <c r="J7" s="675">
        <f t="shared" si="2"/>
        <v>0.20915101406453968</v>
      </c>
    </row>
    <row r="8" spans="1:10" ht="12.75" customHeight="1" x14ac:dyDescent="0.25">
      <c r="A8" s="39" t="s">
        <v>550</v>
      </c>
      <c r="B8" s="749">
        <v>5606695.8200000003</v>
      </c>
      <c r="C8" s="754">
        <v>7545000</v>
      </c>
      <c r="D8" s="734">
        <v>7545000</v>
      </c>
      <c r="E8" s="734">
        <v>4790238.71</v>
      </c>
      <c r="F8" s="408">
        <f t="shared" ref="F8:F17" si="3">IF(E8&gt;0,E8+F7,"")</f>
        <v>34591330.100000001</v>
      </c>
      <c r="G8" s="408">
        <f>IF(D8&gt;0,D8+G7,C8+G7)</f>
        <v>20682000</v>
      </c>
      <c r="H8" s="44">
        <f t="shared" si="0"/>
        <v>-13909330.100000001</v>
      </c>
      <c r="I8" s="124">
        <f t="shared" si="1"/>
        <v>-0.67253312542307331</v>
      </c>
      <c r="J8" s="675">
        <f t="shared" si="2"/>
        <v>0.24277002723074548</v>
      </c>
    </row>
    <row r="9" spans="1:10" ht="12.75" customHeight="1" x14ac:dyDescent="0.25">
      <c r="A9" s="39" t="s">
        <v>921</v>
      </c>
      <c r="B9" s="749">
        <v>5872546.5199999996</v>
      </c>
      <c r="C9" s="754">
        <v>10583000</v>
      </c>
      <c r="D9" s="734">
        <v>10583000</v>
      </c>
      <c r="E9" s="734">
        <v>4804471.47</v>
      </c>
      <c r="F9" s="408">
        <f t="shared" si="3"/>
        <v>39395801.57</v>
      </c>
      <c r="G9" s="408">
        <f t="shared" ref="G9:G17" si="4">IF(D9&gt;0,D9+G8,C9+G8)</f>
        <v>31265000</v>
      </c>
      <c r="H9" s="44">
        <f t="shared" si="0"/>
        <v>-8130801.5700000003</v>
      </c>
      <c r="I9" s="124">
        <f t="shared" si="1"/>
        <v>-0.26006082104589801</v>
      </c>
      <c r="J9" s="675">
        <f t="shared" si="2"/>
        <v>0.27648892922813467</v>
      </c>
    </row>
    <row r="10" spans="1:10" ht="12.75" customHeight="1" x14ac:dyDescent="0.25">
      <c r="A10" s="39" t="s">
        <v>922</v>
      </c>
      <c r="B10" s="749">
        <v>4185356.82</v>
      </c>
      <c r="C10" s="754">
        <v>14220000</v>
      </c>
      <c r="D10" s="734">
        <v>14220000</v>
      </c>
      <c r="E10" s="734">
        <v>9915031.4600000009</v>
      </c>
      <c r="F10" s="408">
        <f t="shared" si="3"/>
        <v>49310833.030000001</v>
      </c>
      <c r="G10" s="408">
        <f t="shared" si="4"/>
        <v>45485000</v>
      </c>
      <c r="H10" s="44">
        <f t="shared" si="0"/>
        <v>-3825833.0300000012</v>
      </c>
      <c r="I10" s="124">
        <f t="shared" si="1"/>
        <v>-8.4111971639001901E-2</v>
      </c>
      <c r="J10" s="675">
        <f t="shared" si="2"/>
        <v>0.34607493388824168</v>
      </c>
    </row>
    <row r="11" spans="1:10" ht="12.75" customHeight="1" x14ac:dyDescent="0.25">
      <c r="A11" s="39" t="s">
        <v>923</v>
      </c>
      <c r="B11" s="749">
        <v>7353836.1899999995</v>
      </c>
      <c r="C11" s="754">
        <v>19396000</v>
      </c>
      <c r="D11" s="734">
        <v>19396000</v>
      </c>
      <c r="E11" s="734"/>
      <c r="F11" s="408" t="str">
        <f t="shared" si="3"/>
        <v/>
      </c>
      <c r="G11" s="408">
        <f t="shared" si="4"/>
        <v>64881000</v>
      </c>
      <c r="H11" s="44">
        <f t="shared" si="0"/>
        <v>0</v>
      </c>
      <c r="I11" s="124" t="str">
        <f t="shared" si="1"/>
        <v/>
      </c>
      <c r="J11" s="675" t="str">
        <f t="shared" si="2"/>
        <v/>
      </c>
    </row>
    <row r="12" spans="1:10" ht="12.75" customHeight="1" x14ac:dyDescent="0.25">
      <c r="A12" s="39" t="s">
        <v>924</v>
      </c>
      <c r="B12" s="749">
        <v>2583015.5900000003</v>
      </c>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v>10959701.699999999</v>
      </c>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v>5548374.54</v>
      </c>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v>8654474.5399999991</v>
      </c>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v>17774802.169999998</v>
      </c>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v>8264280</v>
      </c>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103447887.78000002</v>
      </c>
      <c r="C18" s="265">
        <f>SUM(C6:C17)</f>
        <v>142486000</v>
      </c>
      <c r="D18" s="76">
        <f>SUM(D6:D17)</f>
        <v>142486000</v>
      </c>
      <c r="E18" s="76">
        <f>SUM(E6:E17)</f>
        <v>49310833.030000001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tabSelected="1" zoomScaleNormal="100" workbookViewId="0">
      <pane xSplit="2" ySplit="4" topLeftCell="C71" activePane="bottomRight" state="frozen"/>
      <selection pane="topRight"/>
      <selection pane="bottomLeft"/>
      <selection pane="bottomRight" activeCell="H25" sqref="H2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"&amp;S71Sa&amp; " - "&amp;Head57</f>
        <v>LIM333 Greater Tzaneen - Supporting Table SC13a Consolidated Monthly Budget Statement - capital expenditure on new assets by asset class - M05 November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71828647</v>
      </c>
      <c r="D7" s="603">
        <f t="shared" si="0"/>
        <v>56902421</v>
      </c>
      <c r="E7" s="102">
        <f t="shared" si="0"/>
        <v>56902421</v>
      </c>
      <c r="F7" s="102">
        <f t="shared" si="0"/>
        <v>6256461.0499999998</v>
      </c>
      <c r="G7" s="102">
        <f t="shared" si="0"/>
        <v>34577624.68</v>
      </c>
      <c r="H7" s="102">
        <f t="shared" si="0"/>
        <v>25809000</v>
      </c>
      <c r="I7" s="101">
        <f t="shared" ref="I7:I37" si="1">H7-G7</f>
        <v>-8768624.6799999997</v>
      </c>
      <c r="J7" s="580">
        <f t="shared" ref="J7:J37" si="2">IF(I7=0,"",I7/H7)</f>
        <v>-0.33975065597272269</v>
      </c>
      <c r="K7" s="604">
        <f>K8+K13+K17+K27+K38+K45+K53+K63+K69</f>
        <v>56902421</v>
      </c>
    </row>
    <row r="8" spans="1:11" ht="12.75" customHeight="1" x14ac:dyDescent="0.25">
      <c r="A8" s="518" t="s">
        <v>1225</v>
      </c>
      <c r="B8" s="169"/>
      <c r="C8" s="678">
        <f t="shared" ref="C8:H8" si="3">SUM(C9:C12)</f>
        <v>53816542</v>
      </c>
      <c r="D8" s="610">
        <f t="shared" si="3"/>
        <v>41902421</v>
      </c>
      <c r="E8" s="609">
        <f t="shared" si="3"/>
        <v>41902421</v>
      </c>
      <c r="F8" s="609">
        <f t="shared" si="3"/>
        <v>5931723.2199999997</v>
      </c>
      <c r="G8" s="609">
        <f t="shared" si="3"/>
        <v>27410324.82</v>
      </c>
      <c r="H8" s="609">
        <f t="shared" si="3"/>
        <v>18974000</v>
      </c>
      <c r="I8" s="258">
        <f t="shared" si="1"/>
        <v>-8436324.8200000003</v>
      </c>
      <c r="J8" s="576">
        <f t="shared" si="2"/>
        <v>-0.44462553072625699</v>
      </c>
      <c r="K8" s="611">
        <f>SUM(K9:K12)</f>
        <v>41902421</v>
      </c>
    </row>
    <row r="9" spans="1:11" ht="12.75" customHeight="1" x14ac:dyDescent="0.25">
      <c r="A9" s="575" t="s">
        <v>174</v>
      </c>
      <c r="B9" s="169"/>
      <c r="C9" s="749">
        <v>53816542</v>
      </c>
      <c r="D9" s="746">
        <v>41902421</v>
      </c>
      <c r="E9" s="746">
        <v>41902421</v>
      </c>
      <c r="F9" s="734">
        <v>5931723.2199999997</v>
      </c>
      <c r="G9" s="734">
        <v>27410324.82</v>
      </c>
      <c r="H9" s="734">
        <v>18974000</v>
      </c>
      <c r="I9" s="258">
        <f t="shared" si="1"/>
        <v>-8436324.8200000003</v>
      </c>
      <c r="J9" s="576">
        <f t="shared" si="2"/>
        <v>-0.44462553072625699</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16764784</v>
      </c>
      <c r="D17" s="650">
        <f t="shared" si="5"/>
        <v>15000000</v>
      </c>
      <c r="E17" s="408">
        <f t="shared" si="5"/>
        <v>15000000</v>
      </c>
      <c r="F17" s="408">
        <f t="shared" si="5"/>
        <v>324737.83</v>
      </c>
      <c r="G17" s="408">
        <f t="shared" si="5"/>
        <v>7167299.8600000003</v>
      </c>
      <c r="H17" s="408">
        <f t="shared" si="5"/>
        <v>6835000</v>
      </c>
      <c r="I17" s="258">
        <f t="shared" si="1"/>
        <v>-332299.86000000034</v>
      </c>
      <c r="J17" s="576">
        <f t="shared" si="2"/>
        <v>-4.861738990490129E-2</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16764784</v>
      </c>
      <c r="D24" s="746">
        <v>15000000</v>
      </c>
      <c r="E24" s="746">
        <v>15000000</v>
      </c>
      <c r="F24" s="746">
        <v>324737.83</v>
      </c>
      <c r="G24" s="734">
        <v>7167299.8600000003</v>
      </c>
      <c r="H24" s="734">
        <v>6835000</v>
      </c>
      <c r="I24" s="258">
        <f t="shared" si="1"/>
        <v>-332299.86000000034</v>
      </c>
      <c r="J24" s="576">
        <f t="shared" si="2"/>
        <v>-4.861738990490129E-2</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1247321</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v>1247321</v>
      </c>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5"/>
      <c r="D104" s="754"/>
      <c r="E104" s="734"/>
      <c r="F104" s="734"/>
      <c r="G104" s="734"/>
      <c r="H104" s="734"/>
      <c r="I104" s="44">
        <f t="shared" si="21"/>
        <v>0</v>
      </c>
      <c r="J104" s="124" t="str">
        <f t="shared" si="22"/>
        <v/>
      </c>
      <c r="K104" s="736"/>
    </row>
    <row r="105" spans="1:11" ht="12.75" customHeight="1" x14ac:dyDescent="0.25">
      <c r="A105" s="517" t="s">
        <v>1299</v>
      </c>
      <c r="B105" s="169"/>
      <c r="C105" s="785"/>
      <c r="D105" s="754"/>
      <c r="E105" s="734"/>
      <c r="F105" s="734"/>
      <c r="G105" s="734"/>
      <c r="H105" s="734"/>
      <c r="I105" s="44">
        <f t="shared" si="21"/>
        <v>0</v>
      </c>
      <c r="J105" s="124" t="str">
        <f t="shared" si="22"/>
        <v/>
      </c>
      <c r="K105" s="736"/>
    </row>
    <row r="106" spans="1:11" ht="12.75" customHeight="1" x14ac:dyDescent="0.25">
      <c r="A106" s="518" t="s">
        <v>1300</v>
      </c>
      <c r="B106" s="169"/>
      <c r="C106" s="785"/>
      <c r="D106" s="754"/>
      <c r="E106" s="734"/>
      <c r="F106" s="734"/>
      <c r="G106" s="734"/>
      <c r="H106" s="734"/>
      <c r="I106" s="44">
        <f t="shared" si="21"/>
        <v>0</v>
      </c>
      <c r="J106" s="124" t="str">
        <f t="shared" si="22"/>
        <v/>
      </c>
      <c r="K106" s="736"/>
    </row>
    <row r="107" spans="1:11" ht="12.75" customHeight="1" x14ac:dyDescent="0.25">
      <c r="A107" s="518" t="s">
        <v>1301</v>
      </c>
      <c r="B107" s="169"/>
      <c r="C107" s="785"/>
      <c r="D107" s="754"/>
      <c r="E107" s="734"/>
      <c r="F107" s="734"/>
      <c r="G107" s="734"/>
      <c r="H107" s="734"/>
      <c r="I107" s="44">
        <f t="shared" si="21"/>
        <v>0</v>
      </c>
      <c r="J107" s="124" t="str">
        <f t="shared" si="22"/>
        <v/>
      </c>
      <c r="K107" s="736"/>
    </row>
    <row r="108" spans="1:11" ht="12.75" customHeight="1" x14ac:dyDescent="0.25">
      <c r="A108" s="517" t="s">
        <v>1302</v>
      </c>
      <c r="B108" s="169"/>
      <c r="C108" s="785"/>
      <c r="D108" s="754"/>
      <c r="E108" s="734"/>
      <c r="F108" s="734"/>
      <c r="G108" s="734"/>
      <c r="H108" s="734"/>
      <c r="I108" s="44">
        <f t="shared" si="21"/>
        <v>0</v>
      </c>
      <c r="J108" s="124" t="str">
        <f t="shared" si="22"/>
        <v/>
      </c>
      <c r="K108" s="736"/>
    </row>
    <row r="109" spans="1:11" ht="5.0999999999999996" customHeight="1" x14ac:dyDescent="0.25">
      <c r="A109" s="940"/>
      <c r="B109" s="169"/>
      <c r="C109" s="134"/>
      <c r="D109" s="258"/>
      <c r="E109" s="44"/>
      <c r="F109" s="44"/>
      <c r="G109" s="44"/>
      <c r="H109" s="44"/>
      <c r="I109" s="44">
        <f t="shared" si="21"/>
        <v>0</v>
      </c>
      <c r="J109" s="124" t="str">
        <f t="shared" si="22"/>
        <v/>
      </c>
      <c r="K109" s="144"/>
    </row>
    <row r="110" spans="1:11" ht="12.75" customHeight="1" x14ac:dyDescent="0.25">
      <c r="A110" s="941"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1"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2">
        <f t="shared" ref="C138:H138" si="33">SUM(C139:C140)</f>
        <v>0</v>
      </c>
      <c r="D138" s="943">
        <f t="shared" si="33"/>
        <v>1000000</v>
      </c>
      <c r="E138" s="944">
        <f t="shared" si="33"/>
        <v>1000000</v>
      </c>
      <c r="F138" s="944">
        <f t="shared" si="33"/>
        <v>0</v>
      </c>
      <c r="G138" s="944">
        <f t="shared" si="33"/>
        <v>0</v>
      </c>
      <c r="H138" s="944">
        <f t="shared" si="33"/>
        <v>0</v>
      </c>
      <c r="I138" s="944">
        <f t="shared" ref="I138:I146" si="34">H138-G138</f>
        <v>0</v>
      </c>
      <c r="J138" s="324" t="str">
        <f t="shared" si="30"/>
        <v/>
      </c>
      <c r="K138" s="945">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5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10086850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v>10086850</v>
      </c>
      <c r="D152" s="754">
        <v>235000</v>
      </c>
      <c r="E152" s="75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345882.60869565216</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v>345882.60869565216</v>
      </c>
      <c r="D155" s="754">
        <v>9285000</v>
      </c>
      <c r="E155" s="75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3499900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v>3499900</v>
      </c>
      <c r="D158" s="754">
        <v>1900000</v>
      </c>
      <c r="E158" s="75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85761279.608695656</v>
      </c>
      <c r="D166" s="271">
        <f t="shared" si="42"/>
        <v>69322421</v>
      </c>
      <c r="E166" s="55">
        <f t="shared" si="42"/>
        <v>69322421</v>
      </c>
      <c r="F166" s="55">
        <f t="shared" si="42"/>
        <v>6256461.0499999998</v>
      </c>
      <c r="G166" s="55">
        <f t="shared" si="42"/>
        <v>34577624.68</v>
      </c>
      <c r="H166" s="55">
        <f t="shared" si="42"/>
        <v>25809000</v>
      </c>
      <c r="I166" s="55">
        <f>H166-G166</f>
        <v>-8768624.6799999997</v>
      </c>
      <c r="J166" s="290">
        <f>IF(I166=0,"",I166/H166)</f>
        <v>-0.33975065597272269</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-0.90130434930324554</v>
      </c>
      <c r="D171" s="135">
        <f>D166+SC13b!D166+SC13e!D166-'C5-Capex'!D40</f>
        <v>0</v>
      </c>
      <c r="E171" s="135">
        <f>E166+SC13b!E166+SC13e!E166-'C5-Capex'!E40</f>
        <v>0</v>
      </c>
      <c r="F171" s="135">
        <f>F166+SC13b!F166+SC13e!F166-'C5-Capex'!F40</f>
        <v>0.4699999988079071</v>
      </c>
      <c r="G171" s="135">
        <f>G166+SC13b!G166+SC13e!G166-'C5-Capex'!G40</f>
        <v>1.9999995827674866E-2</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28" activePane="bottomRight" state="frozen"/>
      <selection pane="topRight"/>
      <selection pane="bottomLeft"/>
      <selection pane="bottomRight" activeCell="E171" sqref="E17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"&amp;S71Sb&amp; " - "&amp;Head57</f>
        <v>LIM333 Greater Tzaneen - Supporting Table SC13b Consolidated Monthly Budget Statement - capital expenditure on renewal of existing assets by asset class - M05 November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-0.90130434930324554</v>
      </c>
      <c r="D171" s="135">
        <f>D166+SC13a!D166+SC13e!D166-'C5-Capex'!D40</f>
        <v>0</v>
      </c>
      <c r="E171" s="135">
        <f>E166+SC13a!E166+SC13e!E166-'C5-Capex'!E40</f>
        <v>0</v>
      </c>
      <c r="F171" s="135">
        <f>F166+SC13a!F166+SC13e!F166-'C5-Capex'!F40</f>
        <v>0.4699999988079071</v>
      </c>
      <c r="G171" s="135">
        <f>G166+SC13a!G166+SC13e!G166-'C5-Capex'!G40</f>
        <v>1.9999995827674866E-2</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8" activePane="bottomRight" state="frozen"/>
      <selection pane="topRight"/>
      <selection pane="bottomLeft"/>
      <selection pane="bottomRight" activeCell="G166" sqref="G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"&amp;S71Sc&amp; " - "&amp;Head57</f>
        <v>LIM333 Greater Tzaneen - Supporting Table SC13c Consolidated Monthly Budget Statement - expenditure on repairs and maintenance by asset class - M05 November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36246919.259999998</v>
      </c>
      <c r="D7" s="603">
        <f t="shared" si="0"/>
        <v>46365972</v>
      </c>
      <c r="E7" s="102">
        <f t="shared" si="0"/>
        <v>33581540</v>
      </c>
      <c r="F7" s="102">
        <f t="shared" si="0"/>
        <v>4130001.9699999993</v>
      </c>
      <c r="G7" s="102">
        <f t="shared" si="0"/>
        <v>11954765.65</v>
      </c>
      <c r="H7" s="102">
        <f t="shared" si="0"/>
        <v>13724144.880000001</v>
      </c>
      <c r="I7" s="101">
        <f t="shared" ref="I7:I166" si="1">H7-G7</f>
        <v>1769379.2300000004</v>
      </c>
      <c r="J7" s="580">
        <f t="shared" ref="J7:J166" si="2">IF(I7=0,"",I7/H7)</f>
        <v>0.12892455198272434</v>
      </c>
      <c r="K7" s="604">
        <f>K8+K13+K17+K27+K38+K45+K53+K63+K69</f>
        <v>46365972</v>
      </c>
    </row>
    <row r="8" spans="1:11" ht="12.75" customHeight="1" x14ac:dyDescent="0.25">
      <c r="A8" s="518" t="s">
        <v>1225</v>
      </c>
      <c r="B8" s="169"/>
      <c r="C8" s="678">
        <f t="shared" ref="C8:H8" si="3">SUM(C9:C12)</f>
        <v>20437803</v>
      </c>
      <c r="D8" s="610">
        <f t="shared" si="3"/>
        <v>21603000</v>
      </c>
      <c r="E8" s="609">
        <f t="shared" si="3"/>
        <v>14400000</v>
      </c>
      <c r="F8" s="609">
        <f t="shared" si="3"/>
        <v>1124903.67</v>
      </c>
      <c r="G8" s="609">
        <f t="shared" si="3"/>
        <v>4356295.99</v>
      </c>
      <c r="H8" s="609">
        <f t="shared" si="3"/>
        <v>5007128.97</v>
      </c>
      <c r="I8" s="258">
        <f t="shared" si="1"/>
        <v>650832.97999999952</v>
      </c>
      <c r="J8" s="576">
        <f t="shared" si="2"/>
        <v>0.12998126948585459</v>
      </c>
      <c r="K8" s="611">
        <f>SUM(K9:K12)</f>
        <v>21603000</v>
      </c>
    </row>
    <row r="9" spans="1:11" ht="12.75" customHeight="1" x14ac:dyDescent="0.25">
      <c r="A9" s="575" t="s">
        <v>174</v>
      </c>
      <c r="B9" s="169"/>
      <c r="C9" s="749">
        <v>20437803</v>
      </c>
      <c r="D9" s="746">
        <v>21603000</v>
      </c>
      <c r="E9" s="746">
        <v>14400000</v>
      </c>
      <c r="F9" s="734">
        <v>1124903.67</v>
      </c>
      <c r="G9" s="734">
        <v>4356295.99</v>
      </c>
      <c r="H9" s="734">
        <v>5007128.97</v>
      </c>
      <c r="I9" s="258">
        <f t="shared" si="1"/>
        <v>650832.97999999952</v>
      </c>
      <c r="J9" s="576">
        <f t="shared" si="2"/>
        <v>0.12998126948585459</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857206</v>
      </c>
      <c r="D13" s="650">
        <f t="shared" si="4"/>
        <v>2530432</v>
      </c>
      <c r="E13" s="408">
        <f t="shared" si="4"/>
        <v>2000000</v>
      </c>
      <c r="F13" s="408">
        <f t="shared" si="4"/>
        <v>18341.38</v>
      </c>
      <c r="G13" s="408">
        <f t="shared" si="4"/>
        <v>50319.990000000005</v>
      </c>
      <c r="H13" s="408">
        <f t="shared" si="4"/>
        <v>173015.66999999998</v>
      </c>
      <c r="I13" s="258">
        <f t="shared" si="1"/>
        <v>122695.67999999998</v>
      </c>
      <c r="J13" s="576">
        <f t="shared" si="2"/>
        <v>0.7091593495548697</v>
      </c>
      <c r="K13" s="643">
        <f>SUM(K14:K16)</f>
        <v>2530432</v>
      </c>
    </row>
    <row r="14" spans="1:11" ht="12.75" customHeight="1" x14ac:dyDescent="0.25">
      <c r="A14" s="575" t="s">
        <v>1230</v>
      </c>
      <c r="B14" s="169"/>
      <c r="C14" s="749">
        <v>857206</v>
      </c>
      <c r="D14" s="746">
        <v>2530432</v>
      </c>
      <c r="E14" s="746">
        <v>2000000</v>
      </c>
      <c r="F14" s="734">
        <v>18341.38</v>
      </c>
      <c r="G14" s="734">
        <v>50319.990000000005</v>
      </c>
      <c r="H14" s="734">
        <v>173015.66999999998</v>
      </c>
      <c r="I14" s="258">
        <f t="shared" si="1"/>
        <v>122695.67999999998</v>
      </c>
      <c r="J14" s="576">
        <f t="shared" si="2"/>
        <v>0.7091593495548697</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14438550.26</v>
      </c>
      <c r="D17" s="650">
        <f t="shared" si="5"/>
        <v>21585640</v>
      </c>
      <c r="E17" s="408">
        <f t="shared" si="5"/>
        <v>16875640</v>
      </c>
      <c r="F17" s="408">
        <f t="shared" si="5"/>
        <v>2986756.9199999995</v>
      </c>
      <c r="G17" s="408">
        <f t="shared" si="5"/>
        <v>7548149.6699999999</v>
      </c>
      <c r="H17" s="408">
        <f t="shared" si="5"/>
        <v>8237540.2400000012</v>
      </c>
      <c r="I17" s="258">
        <f t="shared" si="1"/>
        <v>689390.57000000123</v>
      </c>
      <c r="J17" s="576">
        <f t="shared" si="2"/>
        <v>8.3688886477597479E-2</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13232143.24</v>
      </c>
      <c r="D24" s="746">
        <v>19661978</v>
      </c>
      <c r="E24" s="746">
        <v>15611978</v>
      </c>
      <c r="F24" s="734">
        <v>2937483.2199999997</v>
      </c>
      <c r="G24" s="734">
        <v>7284698.4299999997</v>
      </c>
      <c r="H24" s="734">
        <v>8099868.1300000008</v>
      </c>
      <c r="I24" s="258">
        <f t="shared" si="1"/>
        <v>815169.70000000112</v>
      </c>
      <c r="J24" s="576">
        <f t="shared" si="2"/>
        <v>0.10063987300988332</v>
      </c>
      <c r="K24" s="736">
        <v>19661978</v>
      </c>
    </row>
    <row r="25" spans="1:11" ht="12.75" customHeight="1" x14ac:dyDescent="0.25">
      <c r="A25" s="575" t="s">
        <v>1241</v>
      </c>
      <c r="B25" s="169"/>
      <c r="C25" s="749">
        <v>844205.02</v>
      </c>
      <c r="D25" s="746">
        <v>301187</v>
      </c>
      <c r="E25" s="746">
        <v>301187</v>
      </c>
      <c r="F25" s="734">
        <v>34073.15</v>
      </c>
      <c r="G25" s="734">
        <v>160037.20000000001</v>
      </c>
      <c r="H25" s="734">
        <v>137672.10999999999</v>
      </c>
      <c r="I25" s="258">
        <f t="shared" si="1"/>
        <v>-22365.090000000026</v>
      </c>
      <c r="J25" s="576">
        <f t="shared" si="2"/>
        <v>-0.16245185753309097</v>
      </c>
      <c r="K25" s="736">
        <v>301187</v>
      </c>
    </row>
    <row r="26" spans="1:11" ht="12.75" customHeight="1" x14ac:dyDescent="0.25">
      <c r="A26" s="575" t="s">
        <v>1228</v>
      </c>
      <c r="B26" s="169"/>
      <c r="C26" s="749">
        <v>362202</v>
      </c>
      <c r="D26" s="746">
        <v>1622475</v>
      </c>
      <c r="E26" s="746">
        <v>962475</v>
      </c>
      <c r="F26" s="734">
        <v>15200.550000000001</v>
      </c>
      <c r="G26" s="734">
        <v>103414.04000000001</v>
      </c>
      <c r="H26" s="734">
        <v>0</v>
      </c>
      <c r="I26" s="258">
        <f t="shared" si="1"/>
        <v>-103414.04000000001</v>
      </c>
      <c r="J26" s="576" t="e">
        <f t="shared" si="2"/>
        <v>#DIV/0!</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9900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9900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513360</v>
      </c>
      <c r="D53" s="650">
        <f t="shared" si="9"/>
        <v>592000</v>
      </c>
      <c r="E53" s="408">
        <f t="shared" si="9"/>
        <v>296000</v>
      </c>
      <c r="F53" s="408">
        <f t="shared" si="9"/>
        <v>0</v>
      </c>
      <c r="G53" s="408">
        <f t="shared" si="9"/>
        <v>0</v>
      </c>
      <c r="H53" s="408">
        <f t="shared" si="9"/>
        <v>306460</v>
      </c>
      <c r="I53" s="258">
        <f t="shared" si="1"/>
        <v>306460</v>
      </c>
      <c r="J53" s="576">
        <f t="shared" si="2"/>
        <v>1</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v>513360</v>
      </c>
      <c r="D55" s="746">
        <v>592000</v>
      </c>
      <c r="E55" s="746">
        <v>296000</v>
      </c>
      <c r="F55" s="734"/>
      <c r="G55" s="734"/>
      <c r="H55" s="734">
        <v>306460</v>
      </c>
      <c r="I55" s="258">
        <f t="shared" si="1"/>
        <v>306460</v>
      </c>
      <c r="J55" s="576">
        <f t="shared" si="2"/>
        <v>1</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1555268.42</v>
      </c>
      <c r="D117" s="578">
        <f t="shared" si="19"/>
        <v>2301306</v>
      </c>
      <c r="E117" s="579">
        <f t="shared" si="19"/>
        <v>1463363</v>
      </c>
      <c r="F117" s="579">
        <f t="shared" si="19"/>
        <v>93053.64</v>
      </c>
      <c r="G117" s="579">
        <f t="shared" si="19"/>
        <v>619882.16999999993</v>
      </c>
      <c r="H117" s="579">
        <f t="shared" si="19"/>
        <v>532142.27</v>
      </c>
      <c r="I117" s="579">
        <f t="shared" si="1"/>
        <v>-87739.899999999907</v>
      </c>
      <c r="J117" s="580">
        <f t="shared" si="2"/>
        <v>-0.16488053091516278</v>
      </c>
      <c r="K117" s="581">
        <f>+K118+K130</f>
        <v>2301306</v>
      </c>
    </row>
    <row r="118" spans="1:11" ht="12.75" customHeight="1" x14ac:dyDescent="0.25">
      <c r="A118" s="518" t="s">
        <v>1307</v>
      </c>
      <c r="B118" s="169"/>
      <c r="C118" s="649">
        <f t="shared" ref="C118:H118" si="20">SUM(C119:C129)</f>
        <v>1555268.42</v>
      </c>
      <c r="D118" s="650">
        <f t="shared" si="20"/>
        <v>2301306</v>
      </c>
      <c r="E118" s="408">
        <f t="shared" si="20"/>
        <v>1463363</v>
      </c>
      <c r="F118" s="408">
        <f t="shared" si="20"/>
        <v>93053.64</v>
      </c>
      <c r="G118" s="408">
        <f t="shared" si="20"/>
        <v>619882.16999999993</v>
      </c>
      <c r="H118" s="408">
        <f t="shared" si="20"/>
        <v>532142.27</v>
      </c>
      <c r="I118" s="258">
        <f t="shared" si="1"/>
        <v>-87739.899999999907</v>
      </c>
      <c r="J118" s="576">
        <f t="shared" si="2"/>
        <v>-0.16488053091516278</v>
      </c>
      <c r="K118" s="643">
        <f>SUM(K119:K129)</f>
        <v>2301306</v>
      </c>
    </row>
    <row r="119" spans="1:11" ht="12.75" customHeight="1" x14ac:dyDescent="0.25">
      <c r="A119" s="575" t="s">
        <v>1308</v>
      </c>
      <c r="B119" s="169"/>
      <c r="C119" s="749">
        <v>1381593.42</v>
      </c>
      <c r="D119" s="754">
        <v>1941345</v>
      </c>
      <c r="E119" s="754">
        <v>1245856</v>
      </c>
      <c r="F119" s="734">
        <v>93053.64</v>
      </c>
      <c r="G119" s="734">
        <v>619882.16999999993</v>
      </c>
      <c r="H119" s="734">
        <v>530392.27</v>
      </c>
      <c r="I119" s="44">
        <f t="shared" si="1"/>
        <v>-89489.899999999907</v>
      </c>
      <c r="J119" s="124">
        <f t="shared" si="2"/>
        <v>-0.16872398988771067</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v>173675</v>
      </c>
      <c r="D123" s="754">
        <v>359961</v>
      </c>
      <c r="E123" s="754">
        <v>217507</v>
      </c>
      <c r="F123" s="734"/>
      <c r="G123" s="734"/>
      <c r="H123" s="734">
        <v>1750</v>
      </c>
      <c r="I123" s="44">
        <f t="shared" si="1"/>
        <v>1750</v>
      </c>
      <c r="J123" s="124">
        <f t="shared" si="2"/>
        <v>1</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207820.9</v>
      </c>
      <c r="D148" s="578">
        <f t="shared" si="27"/>
        <v>365000</v>
      </c>
      <c r="E148" s="579">
        <f t="shared" si="27"/>
        <v>205000</v>
      </c>
      <c r="F148" s="579">
        <f t="shared" si="27"/>
        <v>86435.99</v>
      </c>
      <c r="G148" s="579">
        <f t="shared" si="27"/>
        <v>331426.48</v>
      </c>
      <c r="H148" s="579">
        <f t="shared" si="27"/>
        <v>245352.41000000003</v>
      </c>
      <c r="I148" s="579">
        <f>H148-G148</f>
        <v>-86074.069999999949</v>
      </c>
      <c r="J148" s="324">
        <f>IF(I148=0,"",I148/H148)</f>
        <v>-0.35081811505336319</v>
      </c>
      <c r="K148" s="581">
        <f>SUM(K149)</f>
        <v>365000</v>
      </c>
    </row>
    <row r="149" spans="1:12" ht="12.75" customHeight="1" x14ac:dyDescent="0.25">
      <c r="A149" s="518" t="s">
        <v>1330</v>
      </c>
      <c r="B149" s="169"/>
      <c r="C149" s="749">
        <v>207820.9</v>
      </c>
      <c r="D149" s="754">
        <v>365000</v>
      </c>
      <c r="E149" s="754">
        <v>205000</v>
      </c>
      <c r="F149" s="734">
        <v>86435.99</v>
      </c>
      <c r="G149" s="734">
        <v>331426.48</v>
      </c>
      <c r="H149" s="734">
        <v>245352.41000000003</v>
      </c>
      <c r="I149" s="44">
        <f>H149-G149</f>
        <v>-86074.069999999949</v>
      </c>
      <c r="J149" s="124">
        <f>IF(I149=0,"",I149/H149)</f>
        <v>-0.35081811505336319</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79675.37</v>
      </c>
      <c r="D151" s="578">
        <f t="shared" si="28"/>
        <v>13209770</v>
      </c>
      <c r="E151" s="579">
        <f t="shared" si="28"/>
        <v>13200343</v>
      </c>
      <c r="F151" s="579">
        <f t="shared" si="28"/>
        <v>149058.49</v>
      </c>
      <c r="G151" s="579">
        <f t="shared" si="28"/>
        <v>545977.19999999995</v>
      </c>
      <c r="H151" s="579">
        <f t="shared" si="28"/>
        <v>560014.64</v>
      </c>
      <c r="I151" s="579">
        <f>H151-G151</f>
        <v>14037.440000000061</v>
      </c>
      <c r="J151" s="324">
        <f>IF(I151=0,"",I151/H151)</f>
        <v>2.5066201840723414E-2</v>
      </c>
      <c r="K151" s="581">
        <f>SUM(K152)</f>
        <v>13209770</v>
      </c>
    </row>
    <row r="152" spans="1:12" ht="12.75" customHeight="1" x14ac:dyDescent="0.25">
      <c r="A152" s="518" t="s">
        <v>1331</v>
      </c>
      <c r="B152" s="169"/>
      <c r="C152" s="749">
        <v>79675.37</v>
      </c>
      <c r="D152" s="754">
        <v>13209770</v>
      </c>
      <c r="E152" s="754">
        <v>13200343</v>
      </c>
      <c r="F152" s="734">
        <v>149058.49</v>
      </c>
      <c r="G152" s="734">
        <v>545977.19999999995</v>
      </c>
      <c r="H152" s="734">
        <v>560014.64</v>
      </c>
      <c r="I152" s="44">
        <f>H152-G152</f>
        <v>14037.440000000061</v>
      </c>
      <c r="J152" s="124">
        <f>IF(I152=0,"",I152/H152)</f>
        <v>2.5066201840723414E-2</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159098</v>
      </c>
      <c r="D154" s="578">
        <f t="shared" si="29"/>
        <v>373860</v>
      </c>
      <c r="E154" s="579">
        <f t="shared" si="29"/>
        <v>104452</v>
      </c>
      <c r="F154" s="579">
        <f t="shared" si="29"/>
        <v>69632.260000000009</v>
      </c>
      <c r="G154" s="579">
        <f t="shared" si="29"/>
        <v>308802.38</v>
      </c>
      <c r="H154" s="579">
        <f t="shared" si="29"/>
        <v>178917.08</v>
      </c>
      <c r="I154" s="579">
        <f>H154-G154</f>
        <v>-129885.30000000002</v>
      </c>
      <c r="J154" s="324">
        <f>IF(I154=0,"",I154/H154)</f>
        <v>-0.72595249151171048</v>
      </c>
      <c r="K154" s="581">
        <f>SUM(K155)</f>
        <v>373860</v>
      </c>
    </row>
    <row r="155" spans="1:12" ht="12.75" customHeight="1" x14ac:dyDescent="0.25">
      <c r="A155" s="518" t="s">
        <v>1332</v>
      </c>
      <c r="B155" s="169"/>
      <c r="C155" s="749">
        <f>76119+82979</f>
        <v>159098</v>
      </c>
      <c r="D155" s="754">
        <v>373860</v>
      </c>
      <c r="E155" s="754">
        <v>104452</v>
      </c>
      <c r="F155" s="734">
        <v>69632.260000000009</v>
      </c>
      <c r="G155" s="734">
        <v>308802.38</v>
      </c>
      <c r="H155" s="734">
        <v>178917.08</v>
      </c>
      <c r="I155" s="44">
        <f>H155-G155</f>
        <v>-129885.30000000002</v>
      </c>
      <c r="J155" s="124">
        <f>IF(I155=0,"",I155/H155)</f>
        <v>-0.72595249151171048</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3909148</v>
      </c>
      <c r="D157" s="578">
        <f t="shared" si="30"/>
        <v>8992340.8100000005</v>
      </c>
      <c r="E157" s="579">
        <f t="shared" si="30"/>
        <v>6413863.8100000005</v>
      </c>
      <c r="F157" s="579">
        <f t="shared" si="30"/>
        <v>1200214.5699999998</v>
      </c>
      <c r="G157" s="579">
        <f t="shared" si="30"/>
        <v>5246739.8199999994</v>
      </c>
      <c r="H157" s="579">
        <f t="shared" si="30"/>
        <v>5657329.290000001</v>
      </c>
      <c r="I157" s="579">
        <f>H157-G157</f>
        <v>410589.4700000016</v>
      </c>
      <c r="J157" s="324">
        <f>IF(I157=0,"",I157/H157)</f>
        <v>7.2576554934811216E-2</v>
      </c>
      <c r="K157" s="581">
        <f>SUM(K158)</f>
        <v>8992340.8100000005</v>
      </c>
    </row>
    <row r="158" spans="1:12" ht="12.75" customHeight="1" x14ac:dyDescent="0.25">
      <c r="A158" s="518" t="s">
        <v>1333</v>
      </c>
      <c r="B158" s="169"/>
      <c r="C158" s="749">
        <v>3909148</v>
      </c>
      <c r="D158" s="754">
        <v>8992340.8100000005</v>
      </c>
      <c r="E158" s="754">
        <v>6413863.8100000005</v>
      </c>
      <c r="F158" s="734">
        <v>1200214.5699999998</v>
      </c>
      <c r="G158" s="734">
        <v>5246739.8199999994</v>
      </c>
      <c r="H158" s="734">
        <v>5657329.290000001</v>
      </c>
      <c r="I158" s="44">
        <f>H158-G158</f>
        <v>410589.4700000016</v>
      </c>
      <c r="J158" s="124">
        <f>IF(I158=0,"",I158/H158)</f>
        <v>7.2576554934811216E-2</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42157929.949999996</v>
      </c>
      <c r="D166" s="271">
        <f t="shared" si="33"/>
        <v>71608248.810000002</v>
      </c>
      <c r="E166" s="55">
        <f t="shared" si="33"/>
        <v>54968561.810000002</v>
      </c>
      <c r="F166" s="55">
        <f t="shared" si="33"/>
        <v>5728396.9199999999</v>
      </c>
      <c r="G166" s="55">
        <f t="shared" si="33"/>
        <v>19007593.699999999</v>
      </c>
      <c r="H166" s="55">
        <f t="shared" si="33"/>
        <v>20897900.57</v>
      </c>
      <c r="I166" s="55">
        <f t="shared" si="1"/>
        <v>1890306.870000001</v>
      </c>
      <c r="J166" s="290">
        <f t="shared" si="2"/>
        <v>9.0454391036467685E-2</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2" activePane="bottomRight" state="frozen"/>
      <selection pane="topRight"/>
      <selection pane="bottomLeft"/>
      <selection pane="bottomRight" activeCell="G158" sqref="G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"&amp;S71Sd&amp; " - "&amp;Head57</f>
        <v>LIM333 Greater Tzaneen - Supporting Table SC13d Consolidated Monthly Budget Statement - depreciation by asset class - M05 November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113752937.855</v>
      </c>
      <c r="D7" s="603">
        <f t="shared" si="0"/>
        <v>115170952.65000001</v>
      </c>
      <c r="E7" s="102">
        <f t="shared" si="0"/>
        <v>111080062.65000001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72835447.430000007</v>
      </c>
      <c r="D8" s="610">
        <f t="shared" si="3"/>
        <v>67752233</v>
      </c>
      <c r="E8" s="609">
        <f t="shared" si="3"/>
        <v>63687851</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v>72835447.430000007</v>
      </c>
      <c r="D9" s="746">
        <v>67752233</v>
      </c>
      <c r="E9" s="746">
        <v>63687851</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2549909</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v>2549909</v>
      </c>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36784923.359999999</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36784923.359999999</v>
      </c>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1582658.0649999999</v>
      </c>
      <c r="D45" s="650">
        <f t="shared" si="8"/>
        <v>911255</v>
      </c>
      <c r="E45" s="408">
        <f t="shared" si="8"/>
        <v>884747</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v>1560648</v>
      </c>
      <c r="D46" s="746">
        <v>864256</v>
      </c>
      <c r="E46" s="746">
        <v>837748</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f>19175.065+2835</f>
        <v>22010.064999999999</v>
      </c>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4147810.2455391004</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233322.50553910044</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v>7434.675698051853</v>
      </c>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v>47106.689841048574</v>
      </c>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f>5874.67+24444.15</f>
        <v>30318.82</v>
      </c>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v>148462.32</v>
      </c>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3914487.7399999998</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f>3866138.21+48349.53</f>
        <v>3914487.7399999998</v>
      </c>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2118959.5499999998</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2118959.5499999998</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f>163281.48+1604485.33+349656.74</f>
        <v>2117423.5499999998</v>
      </c>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v>1536</v>
      </c>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623269</v>
      </c>
      <c r="D138" s="943">
        <f t="shared" si="24"/>
        <v>737574</v>
      </c>
      <c r="E138" s="944">
        <f t="shared" si="24"/>
        <v>714951</v>
      </c>
      <c r="F138" s="944">
        <f t="shared" si="24"/>
        <v>0</v>
      </c>
      <c r="G138" s="944">
        <f t="shared" si="24"/>
        <v>0</v>
      </c>
      <c r="H138" s="944">
        <f t="shared" si="24"/>
        <v>0</v>
      </c>
      <c r="I138" s="944">
        <f t="shared" ref="I138:I146" si="25">H138-G138</f>
        <v>0</v>
      </c>
      <c r="J138" s="324" t="str">
        <f t="shared" si="23"/>
        <v/>
      </c>
      <c r="K138" s="945">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623269</v>
      </c>
      <c r="D140" s="650">
        <f t="shared" si="26"/>
        <v>737574</v>
      </c>
      <c r="E140" s="408">
        <f t="shared" si="26"/>
        <v>714951</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623269</v>
      </c>
      <c r="D144" s="749">
        <v>737574</v>
      </c>
      <c r="E144" s="749">
        <v>714951</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1410398</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f>709001+701397</f>
        <v>1410398</v>
      </c>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2309239.77</v>
      </c>
      <c r="D151" s="578">
        <f t="shared" si="28"/>
        <v>1509576.35</v>
      </c>
      <c r="E151" s="579">
        <f t="shared" si="28"/>
        <v>1426576.35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f>307506.65+300900.8+1700832.32</f>
        <v>2309239.77</v>
      </c>
      <c r="D152" s="749">
        <v>1509576.35</v>
      </c>
      <c r="E152" s="749">
        <v>1426576.35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952524.59</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f>943497.59+9027</f>
        <v>952524.59</v>
      </c>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2408948.15</v>
      </c>
      <c r="D157" s="578">
        <f t="shared" si="30"/>
        <v>4427365.5</v>
      </c>
      <c r="E157" s="579">
        <f t="shared" si="30"/>
        <v>4426382.5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f>1913618.15+495330</f>
        <v>2408948.15</v>
      </c>
      <c r="D158" s="749">
        <v>4427365.5</v>
      </c>
      <c r="E158" s="749">
        <v>4426382.5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127724087.16053911</v>
      </c>
      <c r="D166" s="271">
        <f t="shared" si="33"/>
        <v>134197496</v>
      </c>
      <c r="E166" s="55">
        <f t="shared" si="33"/>
        <v>130000000</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5" activePane="bottomRight" state="frozen"/>
      <selection pane="topRight"/>
      <selection pane="bottomLeft"/>
      <selection pane="bottomRight" activeCell="H166" sqref="H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"&amp;S71Se&amp; " - "&amp;Head57</f>
        <v>LIM333 Greater Tzaneen - Supporting Table SC13e Monthly Budget Statement - capital expenditure on upgrading of existing assets by asset class - M05 November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17531610</v>
      </c>
      <c r="D7" s="603">
        <f t="shared" si="0"/>
        <v>72647429</v>
      </c>
      <c r="E7" s="102">
        <f t="shared" si="0"/>
        <v>72647429</v>
      </c>
      <c r="F7" s="102">
        <f t="shared" si="0"/>
        <v>3658570.88</v>
      </c>
      <c r="G7" s="102">
        <f t="shared" si="0"/>
        <v>14733208.369999999</v>
      </c>
      <c r="H7" s="102">
        <f t="shared" si="0"/>
        <v>11789340</v>
      </c>
      <c r="I7" s="101">
        <f t="shared" ref="I7:I133" si="1">H7-G7</f>
        <v>-2943868.3699999992</v>
      </c>
      <c r="J7" s="580">
        <f t="shared" ref="J7:J136" si="2">IF(I7=0,"",I7/H7)</f>
        <v>-0.24970595215677885</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2704154.78</v>
      </c>
      <c r="G8" s="609">
        <f t="shared" si="3"/>
        <v>12274712</v>
      </c>
      <c r="H8" s="609">
        <f t="shared" si="3"/>
        <v>9658740</v>
      </c>
      <c r="I8" s="258">
        <f t="shared" si="1"/>
        <v>-2615972</v>
      </c>
      <c r="J8" s="576">
        <f t="shared" si="2"/>
        <v>-0.27083988180652963</v>
      </c>
      <c r="K8" s="611">
        <f>SUM(K9:K12)</f>
        <v>49147429</v>
      </c>
    </row>
    <row r="9" spans="1:11" ht="12.75" customHeight="1" x14ac:dyDescent="0.25">
      <c r="A9" s="575" t="s">
        <v>174</v>
      </c>
      <c r="B9" s="169"/>
      <c r="C9" s="749"/>
      <c r="D9" s="746">
        <v>49147429</v>
      </c>
      <c r="E9" s="746">
        <v>49147429</v>
      </c>
      <c r="F9" s="734">
        <v>2704154.78</v>
      </c>
      <c r="G9" s="734">
        <v>12274712</v>
      </c>
      <c r="H9" s="734">
        <v>9658740</v>
      </c>
      <c r="I9" s="258">
        <f t="shared" si="1"/>
        <v>-2615972</v>
      </c>
      <c r="J9" s="576">
        <f t="shared" si="2"/>
        <v>-0.27083988180652963</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17531610</v>
      </c>
      <c r="D17" s="650">
        <f t="shared" si="5"/>
        <v>20000000</v>
      </c>
      <c r="E17" s="408">
        <f t="shared" si="5"/>
        <v>20000000</v>
      </c>
      <c r="F17" s="408">
        <f t="shared" si="5"/>
        <v>828743</v>
      </c>
      <c r="G17" s="408">
        <f t="shared" si="5"/>
        <v>2332823.27</v>
      </c>
      <c r="H17" s="408">
        <f t="shared" si="5"/>
        <v>1835600</v>
      </c>
      <c r="I17" s="258">
        <f t="shared" si="1"/>
        <v>-497223.27</v>
      </c>
      <c r="J17" s="576">
        <f t="shared" si="2"/>
        <v>-0.27087778927870998</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17531610</v>
      </c>
      <c r="D24" s="746">
        <v>20000000</v>
      </c>
      <c r="E24" s="746">
        <v>20000000</v>
      </c>
      <c r="F24" s="734">
        <v>828743</v>
      </c>
      <c r="G24" s="734">
        <v>2332823.27</v>
      </c>
      <c r="H24" s="734">
        <v>1835600</v>
      </c>
      <c r="I24" s="258">
        <f t="shared" si="1"/>
        <v>-497223.27</v>
      </c>
      <c r="J24" s="576">
        <f t="shared" si="2"/>
        <v>-0.27087778927870998</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125673.1</v>
      </c>
      <c r="G69" s="408">
        <f t="shared" si="11"/>
        <v>125673.1</v>
      </c>
      <c r="H69" s="408">
        <f t="shared" si="11"/>
        <v>295000</v>
      </c>
      <c r="I69" s="258">
        <f t="shared" si="1"/>
        <v>169326.9</v>
      </c>
      <c r="J69" s="576">
        <f t="shared" si="2"/>
        <v>0.57398949152542367</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v>125673.1</v>
      </c>
      <c r="G73" s="734">
        <v>125673.1</v>
      </c>
      <c r="H73" s="734">
        <v>295000</v>
      </c>
      <c r="I73" s="258">
        <f t="shared" si="1"/>
        <v>169326.9</v>
      </c>
      <c r="J73" s="576">
        <f t="shared" si="2"/>
        <v>0.57398949152542367</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154938</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154938</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154938</v>
      </c>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17686548</v>
      </c>
      <c r="D166" s="271">
        <f t="shared" si="33"/>
        <v>73397429</v>
      </c>
      <c r="E166" s="55">
        <f t="shared" si="33"/>
        <v>73397429</v>
      </c>
      <c r="F166" s="55">
        <f t="shared" si="33"/>
        <v>3658570.88</v>
      </c>
      <c r="G166" s="55">
        <f t="shared" si="33"/>
        <v>14733208.369999999</v>
      </c>
      <c r="H166" s="55">
        <f t="shared" si="33"/>
        <v>11789340</v>
      </c>
      <c r="I166" s="55">
        <f>H166-G166</f>
        <v>-2943868.3699999992</v>
      </c>
      <c r="J166" s="290">
        <f>IF(I166=0,"",I166/H166)</f>
        <v>-0.24970595215677885</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-0.90130434930324554</v>
      </c>
      <c r="D171" s="135">
        <f>D166+SC13a!D166+SC13b!D166-'C5-Capex'!D40</f>
        <v>0</v>
      </c>
      <c r="E171" s="135">
        <f>E166+SC13a!E166+SC13b!E166-'C5-Capex'!E40</f>
        <v>0</v>
      </c>
      <c r="F171" s="135">
        <f>F166+SC13a!F166+SC13b!F166-'C5-Capex'!F40</f>
        <v>0.4699999988079071</v>
      </c>
      <c r="G171" s="135">
        <f>G166+SC13a!G166+SC13b!G166-'C5-Capex'!G40</f>
        <v>1.9999995827674866E-2</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19231011.369999997</v>
      </c>
      <c r="C3" s="43">
        <f>'SC12'!C6</f>
        <v>3597000</v>
      </c>
      <c r="D3" s="43">
        <f>'SC12'!D6</f>
        <v>3597000</v>
      </c>
      <c r="E3" s="45">
        <f>'SC12'!E6</f>
        <v>5554740.2300000004</v>
      </c>
      <c r="F3" s="43"/>
      <c r="G3" s="43"/>
      <c r="H3" s="43"/>
      <c r="I3" s="43"/>
      <c r="J3" s="43"/>
      <c r="K3" s="43"/>
    </row>
    <row r="4" spans="1:11" x14ac:dyDescent="0.25">
      <c r="A4" s="42" t="str">
        <f>LEFT('SC12'!A7,3)</f>
        <v>Aug</v>
      </c>
      <c r="B4" s="43">
        <f>'SC12'!B7</f>
        <v>7413792.5199999996</v>
      </c>
      <c r="C4" s="43">
        <f>'SC12'!C7</f>
        <v>9540000</v>
      </c>
      <c r="D4" s="43">
        <f>'SC12'!D7</f>
        <v>9540000</v>
      </c>
      <c r="E4" s="45">
        <f>'SC12'!E7</f>
        <v>24246351.16</v>
      </c>
      <c r="F4" s="43"/>
      <c r="G4" s="43"/>
      <c r="H4" s="43"/>
      <c r="I4" s="43"/>
      <c r="J4" s="43"/>
      <c r="K4" s="43"/>
    </row>
    <row r="5" spans="1:11" x14ac:dyDescent="0.25">
      <c r="A5" s="42" t="str">
        <f>LEFT('SC12'!A8,3)</f>
        <v>Sep</v>
      </c>
      <c r="B5" s="43">
        <f>'SC12'!B8</f>
        <v>5606695.8200000003</v>
      </c>
      <c r="C5" s="43">
        <f>'SC12'!C8</f>
        <v>7545000</v>
      </c>
      <c r="D5" s="43">
        <f>'SC12'!D8</f>
        <v>7545000</v>
      </c>
      <c r="E5" s="45">
        <f>'SC12'!E8</f>
        <v>4790238.71</v>
      </c>
      <c r="F5" s="43"/>
      <c r="G5" s="43"/>
      <c r="H5" s="43"/>
      <c r="I5" s="43"/>
      <c r="J5" s="43"/>
      <c r="K5" s="43"/>
    </row>
    <row r="6" spans="1:11" x14ac:dyDescent="0.25">
      <c r="A6" s="42" t="str">
        <f>LEFT('SC12'!A9,3)</f>
        <v>Oct</v>
      </c>
      <c r="B6" s="43">
        <f>'SC12'!B9</f>
        <v>5872546.5199999996</v>
      </c>
      <c r="C6" s="43">
        <f>'SC12'!C9</f>
        <v>10583000</v>
      </c>
      <c r="D6" s="43">
        <f>'SC12'!D9</f>
        <v>10583000</v>
      </c>
      <c r="E6" s="45">
        <f>'SC12'!E9</f>
        <v>4804471.47</v>
      </c>
      <c r="F6" s="43"/>
      <c r="G6" s="43"/>
      <c r="H6" s="43"/>
      <c r="I6" s="43"/>
      <c r="J6" s="43"/>
      <c r="K6" s="43"/>
    </row>
    <row r="7" spans="1:11" x14ac:dyDescent="0.25">
      <c r="A7" s="42" t="str">
        <f>LEFT('SC12'!A10,3)</f>
        <v>Nov</v>
      </c>
      <c r="B7" s="43">
        <f>'SC12'!B10</f>
        <v>4185356.82</v>
      </c>
      <c r="C7" s="43">
        <f>'SC12'!C10</f>
        <v>14220000</v>
      </c>
      <c r="D7" s="43">
        <f>'SC12'!D10</f>
        <v>14220000</v>
      </c>
      <c r="E7" s="45">
        <f>'SC12'!E10</f>
        <v>9915031.4600000009</v>
      </c>
      <c r="F7" s="43"/>
      <c r="G7" s="43"/>
      <c r="H7" s="43"/>
      <c r="I7" s="43"/>
      <c r="J7" s="43"/>
      <c r="K7" s="43"/>
    </row>
    <row r="8" spans="1:11" x14ac:dyDescent="0.25">
      <c r="A8" s="42" t="str">
        <f>LEFT('SC12'!A11,3)</f>
        <v>Dec</v>
      </c>
      <c r="B8" s="43">
        <f>'SC12'!B11</f>
        <v>7353836.1899999995</v>
      </c>
      <c r="C8" s="43">
        <f>'SC12'!C11</f>
        <v>19396000</v>
      </c>
      <c r="D8" s="43">
        <f>'SC12'!D11</f>
        <v>19396000</v>
      </c>
      <c r="E8" s="45">
        <f>'SC12'!E11</f>
        <v>0</v>
      </c>
      <c r="F8" s="43"/>
      <c r="G8" s="43"/>
      <c r="H8" s="43"/>
      <c r="I8" s="43"/>
      <c r="J8" s="43"/>
      <c r="K8" s="43"/>
    </row>
    <row r="9" spans="1:11" x14ac:dyDescent="0.25">
      <c r="A9" s="42" t="str">
        <f>LEFT('SC12'!A12,3)</f>
        <v>Jan</v>
      </c>
      <c r="B9" s="43">
        <f>'SC12'!B12</f>
        <v>2583015.5900000003</v>
      </c>
      <c r="C9" s="43">
        <f>'SC12'!C12</f>
        <v>13356000</v>
      </c>
      <c r="D9" s="43">
        <f>'SC12'!D12</f>
        <v>13356000</v>
      </c>
      <c r="E9" s="45">
        <f>'SC12'!E12</f>
        <v>0</v>
      </c>
      <c r="F9" s="43"/>
      <c r="G9" s="43"/>
      <c r="H9" s="43"/>
      <c r="I9" s="43"/>
      <c r="J9" s="43"/>
      <c r="K9" s="43"/>
    </row>
    <row r="10" spans="1:11" x14ac:dyDescent="0.25">
      <c r="A10" s="42" t="str">
        <f>LEFT('SC12'!A13,3)</f>
        <v>Feb</v>
      </c>
      <c r="B10" s="43">
        <f>'SC12'!B13</f>
        <v>10959701.699999999</v>
      </c>
      <c r="C10" s="43">
        <f>'SC12'!C13</f>
        <v>19309000</v>
      </c>
      <c r="D10" s="43">
        <f>'SC12'!D13</f>
        <v>19309000</v>
      </c>
      <c r="E10" s="45">
        <f>'SC12'!E13</f>
        <v>0</v>
      </c>
      <c r="F10" s="43"/>
      <c r="G10" s="43"/>
      <c r="H10" s="43"/>
      <c r="I10" s="43"/>
      <c r="J10" s="43"/>
      <c r="K10" s="43"/>
    </row>
    <row r="11" spans="1:11" x14ac:dyDescent="0.25">
      <c r="A11" s="42" t="str">
        <f>LEFT('SC12'!A14,3)</f>
        <v>Mar</v>
      </c>
      <c r="B11" s="43">
        <f>'SC12'!B14</f>
        <v>5548374.54</v>
      </c>
      <c r="C11" s="43">
        <f>'SC12'!C14</f>
        <v>13155000</v>
      </c>
      <c r="D11" s="43">
        <f>'SC12'!D14</f>
        <v>13155000</v>
      </c>
      <c r="E11" s="45">
        <f>'SC12'!E14</f>
        <v>0</v>
      </c>
      <c r="F11" s="43"/>
      <c r="G11" s="43"/>
      <c r="H11" s="43"/>
      <c r="I11" s="43"/>
      <c r="J11" s="43"/>
      <c r="K11" s="43"/>
    </row>
    <row r="12" spans="1:11" x14ac:dyDescent="0.25">
      <c r="A12" s="42" t="str">
        <f>LEFT('SC12'!A15,3)</f>
        <v>Apr</v>
      </c>
      <c r="B12" s="43">
        <f>'SC12'!B15</f>
        <v>8654474.5399999991</v>
      </c>
      <c r="C12" s="43">
        <f>'SC12'!C15</f>
        <v>10547000</v>
      </c>
      <c r="D12" s="43">
        <f>'SC12'!D15</f>
        <v>10547000</v>
      </c>
      <c r="E12" s="45">
        <f>'SC12'!E15</f>
        <v>0</v>
      </c>
      <c r="F12" s="43"/>
      <c r="G12" s="43"/>
      <c r="H12" s="43"/>
      <c r="I12" s="43"/>
      <c r="J12" s="43"/>
      <c r="K12" s="43"/>
    </row>
    <row r="13" spans="1:11" x14ac:dyDescent="0.25">
      <c r="A13" s="42" t="str">
        <f>LEFT('SC12'!A16,3)</f>
        <v>May</v>
      </c>
      <c r="B13" s="43">
        <f>'SC12'!B16</f>
        <v>17774802.169999998</v>
      </c>
      <c r="C13" s="43">
        <f>'SC12'!C16</f>
        <v>9821000</v>
      </c>
      <c r="D13" s="43">
        <f>'SC12'!D16</f>
        <v>9821000</v>
      </c>
      <c r="E13" s="45">
        <f>'SC12'!E16</f>
        <v>0</v>
      </c>
      <c r="F13" s="43"/>
      <c r="G13" s="43"/>
      <c r="H13" s="43"/>
      <c r="I13" s="43"/>
      <c r="J13" s="43"/>
      <c r="K13" s="43"/>
    </row>
    <row r="14" spans="1:11" x14ac:dyDescent="0.25">
      <c r="A14" s="91" t="str">
        <f>LEFT('SC12'!A17,3)</f>
        <v>Jun</v>
      </c>
      <c r="B14" s="356">
        <f>'SC12'!B17</f>
        <v>8264280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f>'SC12'!F7</f>
        <v>29801091.390000001</v>
      </c>
      <c r="C29" s="45">
        <f>'SC12'!G7</f>
        <v>13137000</v>
      </c>
      <c r="D29" s="43"/>
      <c r="E29" s="43"/>
      <c r="F29" s="43"/>
      <c r="G29" s="43"/>
      <c r="H29" s="43"/>
      <c r="I29" s="43"/>
    </row>
    <row r="30" spans="1:10" x14ac:dyDescent="0.25">
      <c r="A30" s="42" t="str">
        <f>LEFT('SC12'!A8,3)</f>
        <v>Sep</v>
      </c>
      <c r="B30" s="43">
        <f>'SC12'!F8</f>
        <v>34591330.100000001</v>
      </c>
      <c r="C30" s="45">
        <f>'SC12'!G8</f>
        <v>20682000</v>
      </c>
      <c r="D30" s="43"/>
      <c r="E30" s="43"/>
      <c r="F30" s="43"/>
      <c r="G30" s="43"/>
      <c r="H30" s="43"/>
      <c r="I30" s="43"/>
    </row>
    <row r="31" spans="1:10" x14ac:dyDescent="0.25">
      <c r="A31" s="42" t="str">
        <f>LEFT('SC12'!A9,3)</f>
        <v>Oct</v>
      </c>
      <c r="B31" s="43">
        <f>'SC12'!F9</f>
        <v>39395801.57</v>
      </c>
      <c r="C31" s="45">
        <f>'SC12'!G9</f>
        <v>31265000</v>
      </c>
      <c r="D31" s="43"/>
      <c r="E31" s="43"/>
      <c r="F31" s="43"/>
      <c r="G31" s="43"/>
      <c r="H31" s="43"/>
      <c r="I31" s="43"/>
    </row>
    <row r="32" spans="1:10" x14ac:dyDescent="0.25">
      <c r="A32" s="42" t="str">
        <f>LEFT('SC12'!A10,3)</f>
        <v>Nov</v>
      </c>
      <c r="B32" s="43">
        <f>'SC12'!F10</f>
        <v>49310833.030000001</v>
      </c>
      <c r="C32" s="45">
        <f>'SC12'!G10</f>
        <v>45485000</v>
      </c>
      <c r="D32" s="43"/>
      <c r="E32" s="43"/>
      <c r="F32" s="43"/>
      <c r="G32" s="43"/>
      <c r="H32" s="43"/>
      <c r="I32" s="43"/>
    </row>
    <row r="33" spans="1:9" x14ac:dyDescent="0.25">
      <c r="A33" s="42" t="str">
        <f>LEFT('SC12'!A11,3)</f>
        <v>Dec</v>
      </c>
      <c r="B33" s="43" t="str">
        <f>'SC12'!F11</f>
        <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62467814.170000002</v>
      </c>
      <c r="C53" s="43">
        <f>'SC3'!D14</f>
        <v>30660695.360000003</v>
      </c>
      <c r="D53" s="43">
        <f>'SC3'!E14</f>
        <v>16645040.890000001</v>
      </c>
      <c r="E53" s="43">
        <f>'SC3'!F14</f>
        <v>12890610.380000001</v>
      </c>
      <c r="F53" s="43">
        <f>'SC3'!G14</f>
        <v>552247897.1500001</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21131045.316</v>
      </c>
      <c r="C78" s="43">
        <f>'SC3'!K17</f>
        <v>21784582.800000001</v>
      </c>
      <c r="D78" s="43"/>
      <c r="E78" s="43"/>
      <c r="F78" s="43"/>
      <c r="G78" s="43"/>
      <c r="H78" s="43"/>
      <c r="I78" s="43"/>
      <c r="J78" s="43"/>
    </row>
    <row r="79" spans="1:10" x14ac:dyDescent="0.25">
      <c r="A79" s="61" t="str">
        <f>'SC3'!A18</f>
        <v>Commercial</v>
      </c>
      <c r="B79" s="43">
        <f>C79*0.97</f>
        <v>222696023.3046</v>
      </c>
      <c r="C79" s="43">
        <f>'SC3'!K18</f>
        <v>229583529.18000001</v>
      </c>
      <c r="D79" s="43"/>
      <c r="E79" s="43"/>
      <c r="F79" s="43"/>
      <c r="G79" s="43"/>
      <c r="H79" s="43"/>
      <c r="I79" s="43"/>
      <c r="J79" s="43"/>
    </row>
    <row r="80" spans="1:10" x14ac:dyDescent="0.25">
      <c r="A80" s="61" t="str">
        <f>'SC3'!A19</f>
        <v>Households</v>
      </c>
      <c r="B80" s="43">
        <f>C80*0.97</f>
        <v>350909020.26320004</v>
      </c>
      <c r="C80" s="43">
        <f>'SC3'!K19</f>
        <v>361761876.56000006</v>
      </c>
    </row>
    <row r="81" spans="1:3" x14ac:dyDescent="0.25">
      <c r="A81" s="61" t="str">
        <f>'SC3'!A20</f>
        <v>Other</v>
      </c>
      <c r="B81" s="43">
        <f>C81*0.97</f>
        <v>59928607.327699997</v>
      </c>
      <c r="C81" s="43">
        <f>'SC3'!K20</f>
        <v>61782069.409999996</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2974791</v>
      </c>
      <c r="I104" s="43">
        <f>'SC4'!K13</f>
        <v>0</v>
      </c>
      <c r="J104" s="43">
        <f>'SC4'!K14</f>
        <v>0</v>
      </c>
    </row>
    <row r="106" spans="1:10" ht="12" customHeight="1" x14ac:dyDescent="0.25">
      <c r="A106" s="61"/>
      <c r="B106" s="43"/>
      <c r="C106" s="43"/>
    </row>
  </sheetData>
  <sheetProtection sheet="1" objects="1" scenarios="1"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02E0D-11A6-49D2-9E12-2ECCC9B9E8A2}">
  <ds:schemaRefs>
    <ds:schemaRef ds:uri="http://purl.org/dc/elements/1.1/"/>
    <ds:schemaRef ds:uri="http://schemas.microsoft.com/office/infopath/2007/PartnerControls"/>
    <ds:schemaRef ds:uri="http://purl.org/dc/terms/"/>
    <ds:schemaRef ds:uri="http://www.w3.org/XML/1998/namespace"/>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Oupa Mbungela</cp:lastModifiedBy>
  <cp:lastPrinted>2019-10-08T08:36:09Z</cp:lastPrinted>
  <dcterms:created xsi:type="dcterms:W3CDTF">2004-04-07T16:19:08Z</dcterms:created>
  <dcterms:modified xsi:type="dcterms:W3CDTF">2019-12-13T13:02:13Z</dcterms:modified>
</cp:coreProperties>
</file>