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C SCHEDULE\C Schedule 2019 2020\"/>
    </mc:Choice>
  </mc:AlternateContent>
  <workbookProtection workbookPassword="FB84" lockStructure="1"/>
  <bookViews>
    <workbookView xWindow="0" yWindow="0" windowWidth="15360" windowHeight="7755" tabRatio="792" activeTab="1"/>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52511"/>
  <fileRecoveryPr autoRecover="0"/>
</workbook>
</file>

<file path=xl/calcChain.xml><?xml version="1.0" encoding="utf-8"?>
<calcChain xmlns="http://schemas.openxmlformats.org/spreadsheetml/2006/main">
  <c r="G24" i="335" l="1"/>
  <c r="F24" i="335"/>
  <c r="I74" i="323" l="1"/>
  <c r="F16" i="317" l="1"/>
  <c r="G15" i="177" l="1"/>
  <c r="C10" i="177"/>
  <c r="E20" i="317" l="1"/>
  <c r="D20" i="317"/>
  <c r="H146" i="330" l="1"/>
  <c r="H32" i="241" s="1"/>
  <c r="M20" i="317"/>
  <c r="C260" i="324"/>
  <c r="C222" i="324"/>
  <c r="C212" i="324"/>
  <c r="C199" i="324"/>
  <c r="C52" i="333"/>
  <c r="C158" i="333"/>
  <c r="C152" i="333"/>
  <c r="C149" i="333"/>
  <c r="C155" i="333"/>
  <c r="C88" i="333"/>
  <c r="C100" i="333"/>
  <c r="C119" i="333"/>
  <c r="C155" i="325"/>
  <c r="C45" i="268"/>
  <c r="C178" i="330"/>
  <c r="C90" i="330"/>
  <c r="A25" i="238"/>
  <c r="O22" i="238"/>
  <c r="N22" i="238"/>
  <c r="M22" i="238"/>
  <c r="K22" i="238"/>
  <c r="N12" i="238"/>
  <c r="N24" i="238"/>
  <c r="M12" i="238"/>
  <c r="M24" i="238" s="1"/>
  <c r="K12" i="238"/>
  <c r="K24" i="238" s="1"/>
  <c r="O21" i="238"/>
  <c r="O20" i="238"/>
  <c r="O19" i="238"/>
  <c r="O18" i="238"/>
  <c r="O17" i="238"/>
  <c r="O16" i="238"/>
  <c r="O15" i="238"/>
  <c r="O11" i="238"/>
  <c r="O10" i="238"/>
  <c r="O9" i="238"/>
  <c r="O8" i="238"/>
  <c r="O7" i="238"/>
  <c r="O6" i="238"/>
  <c r="O5" i="238"/>
  <c r="O12" i="238" s="1"/>
  <c r="O24" i="238" s="1"/>
  <c r="J7" i="267"/>
  <c r="G7" i="267"/>
  <c r="F7" i="267"/>
  <c r="E7" i="267"/>
  <c r="D7" i="267"/>
  <c r="D11" i="267" s="1"/>
  <c r="C7" i="267"/>
  <c r="B7" i="267"/>
  <c r="K22" i="181"/>
  <c r="H22" i="181"/>
  <c r="G22" i="181"/>
  <c r="F22" i="181"/>
  <c r="E22" i="181"/>
  <c r="D22" i="181"/>
  <c r="C22" i="181"/>
  <c r="Q21" i="317"/>
  <c r="Q33" i="317"/>
  <c r="P21" i="317"/>
  <c r="P33" i="317"/>
  <c r="O21" i="317"/>
  <c r="O33" i="317"/>
  <c r="M21" i="317"/>
  <c r="L21" i="317"/>
  <c r="L33" i="317"/>
  <c r="K21" i="317"/>
  <c r="K33" i="317" s="1"/>
  <c r="K54" i="317" s="1"/>
  <c r="K66" i="317" s="1"/>
  <c r="J21" i="317"/>
  <c r="J33" i="317"/>
  <c r="I21" i="317"/>
  <c r="I33" i="317" s="1"/>
  <c r="I54" i="317" s="1"/>
  <c r="I66" i="317" s="1"/>
  <c r="H21" i="317"/>
  <c r="H33" i="317" s="1"/>
  <c r="G21" i="317"/>
  <c r="G33" i="317" s="1"/>
  <c r="F21" i="317"/>
  <c r="F33" i="317" s="1"/>
  <c r="E21" i="317"/>
  <c r="E33" i="317" s="1"/>
  <c r="D21" i="317"/>
  <c r="D33" i="317" s="1"/>
  <c r="D54" i="317" s="1"/>
  <c r="D56" i="317" s="1"/>
  <c r="E55" i="317" s="1"/>
  <c r="C21" i="317"/>
  <c r="C33" i="317"/>
  <c r="G25" i="178"/>
  <c r="G26" i="178"/>
  <c r="F25" i="178"/>
  <c r="E25" i="178"/>
  <c r="D37" i="267"/>
  <c r="D25" i="178"/>
  <c r="C37" i="267"/>
  <c r="C25" i="178"/>
  <c r="B37" i="267"/>
  <c r="K22" i="182"/>
  <c r="K53" i="182"/>
  <c r="H22" i="182"/>
  <c r="H53" i="182" s="1"/>
  <c r="G22" i="182"/>
  <c r="G55" i="174" s="1"/>
  <c r="F22" i="182"/>
  <c r="E22" i="182"/>
  <c r="E53" i="182" s="1"/>
  <c r="D22" i="182"/>
  <c r="E55" i="174"/>
  <c r="C22" i="182"/>
  <c r="D55" i="174"/>
  <c r="I184" i="330"/>
  <c r="J184" i="330"/>
  <c r="A184" i="330"/>
  <c r="I183" i="330"/>
  <c r="J183" i="330"/>
  <c r="A183" i="330"/>
  <c r="I62" i="330"/>
  <c r="J62" i="330"/>
  <c r="I61" i="330"/>
  <c r="J61" i="330"/>
  <c r="K53" i="333"/>
  <c r="H53" i="333"/>
  <c r="G53" i="333"/>
  <c r="F53" i="333"/>
  <c r="E53" i="333"/>
  <c r="D53" i="333"/>
  <c r="K53" i="335"/>
  <c r="H53" i="335"/>
  <c r="G53" i="335"/>
  <c r="F53" i="335"/>
  <c r="E53" i="335"/>
  <c r="D53" i="335"/>
  <c r="K8" i="335"/>
  <c r="H8" i="335"/>
  <c r="G8" i="335"/>
  <c r="I8" i="335" s="1"/>
  <c r="J8" i="335" s="1"/>
  <c r="F8" i="335"/>
  <c r="E8" i="335"/>
  <c r="D8" i="335"/>
  <c r="K8" i="333"/>
  <c r="H8" i="333"/>
  <c r="G8" i="333"/>
  <c r="F8" i="333"/>
  <c r="E8" i="333"/>
  <c r="D8" i="333"/>
  <c r="K53" i="325"/>
  <c r="H53" i="325"/>
  <c r="G53" i="325"/>
  <c r="F53" i="325"/>
  <c r="E53" i="325"/>
  <c r="D53" i="325"/>
  <c r="D7" i="325"/>
  <c r="K8" i="325"/>
  <c r="H8" i="325"/>
  <c r="G8" i="325"/>
  <c r="F8" i="325"/>
  <c r="E8" i="325"/>
  <c r="D8" i="325"/>
  <c r="C7" i="326"/>
  <c r="K53" i="326"/>
  <c r="H53" i="326"/>
  <c r="G53" i="326"/>
  <c r="I53" i="326"/>
  <c r="J53" i="326"/>
  <c r="F53" i="326"/>
  <c r="E53" i="326"/>
  <c r="D53" i="326"/>
  <c r="K8" i="326"/>
  <c r="H8" i="326"/>
  <c r="G8" i="326"/>
  <c r="F8" i="326"/>
  <c r="E8" i="326"/>
  <c r="D8" i="326"/>
  <c r="K53" i="242"/>
  <c r="H53" i="242"/>
  <c r="G53" i="242"/>
  <c r="F53" i="242"/>
  <c r="E53" i="242"/>
  <c r="D53" i="242"/>
  <c r="K8" i="242"/>
  <c r="H8" i="242"/>
  <c r="G8" i="242"/>
  <c r="F8" i="242"/>
  <c r="E8" i="242"/>
  <c r="D8" i="242"/>
  <c r="I180" i="330"/>
  <c r="J180" i="330"/>
  <c r="A180" i="330"/>
  <c r="E100" i="100"/>
  <c r="F100" i="100"/>
  <c r="A168" i="335"/>
  <c r="J165" i="335"/>
  <c r="I164" i="335"/>
  <c r="J164" i="335"/>
  <c r="K163" i="335"/>
  <c r="J163" i="335"/>
  <c r="H163" i="335"/>
  <c r="G163" i="335"/>
  <c r="I163" i="335"/>
  <c r="F163" i="335"/>
  <c r="E163" i="335"/>
  <c r="D163" i="335"/>
  <c r="C163" i="335"/>
  <c r="I161" i="335"/>
  <c r="J161" i="335"/>
  <c r="K160" i="335"/>
  <c r="H160" i="335"/>
  <c r="I160" i="335"/>
  <c r="J160" i="335"/>
  <c r="G160" i="335"/>
  <c r="F160" i="335"/>
  <c r="E160" i="335"/>
  <c r="D160" i="335"/>
  <c r="C160" i="335"/>
  <c r="I158" i="335"/>
  <c r="J158" i="335"/>
  <c r="K157" i="335"/>
  <c r="H157" i="335"/>
  <c r="G157" i="335"/>
  <c r="F157" i="335"/>
  <c r="E157" i="335"/>
  <c r="D157" i="335"/>
  <c r="C157" i="335"/>
  <c r="I155" i="335"/>
  <c r="J155" i="335"/>
  <c r="K154" i="335"/>
  <c r="H154" i="335"/>
  <c r="I154" i="335"/>
  <c r="J154" i="335"/>
  <c r="G154" i="335"/>
  <c r="F154" i="335"/>
  <c r="E154" i="335"/>
  <c r="D154" i="335"/>
  <c r="C154" i="335"/>
  <c r="J153" i="335"/>
  <c r="I152" i="335"/>
  <c r="J152" i="335"/>
  <c r="K151" i="335"/>
  <c r="H151" i="335"/>
  <c r="I151" i="335"/>
  <c r="J151" i="335"/>
  <c r="G151" i="335"/>
  <c r="F151" i="335"/>
  <c r="E151" i="335"/>
  <c r="D151" i="335"/>
  <c r="C151" i="335"/>
  <c r="I149" i="335"/>
  <c r="J149" i="335"/>
  <c r="K148" i="335"/>
  <c r="H148" i="335"/>
  <c r="G148" i="335"/>
  <c r="I148" i="335"/>
  <c r="J148" i="335"/>
  <c r="F148" i="335"/>
  <c r="E148" i="335"/>
  <c r="D148" i="335"/>
  <c r="C148" i="335"/>
  <c r="I146" i="335"/>
  <c r="J146" i="335"/>
  <c r="I145" i="335"/>
  <c r="J145" i="335"/>
  <c r="I144" i="335"/>
  <c r="J144" i="335"/>
  <c r="I143" i="335"/>
  <c r="J143" i="335"/>
  <c r="I142" i="335"/>
  <c r="J142" i="335" s="1"/>
  <c r="I141" i="335"/>
  <c r="J141" i="335"/>
  <c r="K140" i="335"/>
  <c r="H140" i="335"/>
  <c r="G140" i="335"/>
  <c r="I140" i="335" s="1"/>
  <c r="J140" i="335" s="1"/>
  <c r="F140" i="335"/>
  <c r="F138" i="335" s="1"/>
  <c r="E140" i="335"/>
  <c r="E138" i="335"/>
  <c r="D140" i="335"/>
  <c r="D138" i="335"/>
  <c r="C140" i="335"/>
  <c r="I139" i="335"/>
  <c r="J139" i="335"/>
  <c r="K138" i="335"/>
  <c r="H138" i="335"/>
  <c r="C138" i="335"/>
  <c r="J137" i="335"/>
  <c r="I136" i="335"/>
  <c r="J136" i="335"/>
  <c r="K135" i="335"/>
  <c r="H135" i="335"/>
  <c r="G135" i="335"/>
  <c r="F135" i="335"/>
  <c r="E135" i="335"/>
  <c r="D135" i="335"/>
  <c r="C135" i="335"/>
  <c r="J134" i="335"/>
  <c r="J133" i="335"/>
  <c r="I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E117" i="335"/>
  <c r="D118" i="335"/>
  <c r="C118" i="335"/>
  <c r="C117" i="335"/>
  <c r="D117" i="335"/>
  <c r="I116" i="335"/>
  <c r="J116" i="335"/>
  <c r="J115" i="335"/>
  <c r="I115" i="335"/>
  <c r="K114" i="335"/>
  <c r="J114" i="335"/>
  <c r="I114" i="335"/>
  <c r="H114" i="335"/>
  <c r="G114" i="335"/>
  <c r="F114" i="335"/>
  <c r="E114" i="335"/>
  <c r="E110" i="335"/>
  <c r="D114" i="335"/>
  <c r="C114" i="335"/>
  <c r="J113" i="335"/>
  <c r="I113" i="335"/>
  <c r="J112" i="335"/>
  <c r="I112" i="335"/>
  <c r="K111" i="335"/>
  <c r="K110" i="335"/>
  <c r="H111" i="335"/>
  <c r="I111" i="335"/>
  <c r="J111" i="335"/>
  <c r="G111" i="335"/>
  <c r="F111" i="335"/>
  <c r="F110" i="335"/>
  <c r="E111" i="335"/>
  <c r="D111" i="335"/>
  <c r="D110" i="335"/>
  <c r="C111" i="335"/>
  <c r="C110" i="335"/>
  <c r="H110" i="335"/>
  <c r="I109" i="335"/>
  <c r="J109" i="335"/>
  <c r="I108" i="335"/>
  <c r="J108" i="335"/>
  <c r="I107" i="335"/>
  <c r="J107" i="335"/>
  <c r="I106" i="335"/>
  <c r="J106" i="335"/>
  <c r="I105" i="335"/>
  <c r="J105" i="335"/>
  <c r="I104" i="335"/>
  <c r="J104" i="335"/>
  <c r="K103" i="335"/>
  <c r="H103" i="335"/>
  <c r="I103" i="335"/>
  <c r="J103" i="335"/>
  <c r="G103" i="335"/>
  <c r="F103" i="335"/>
  <c r="E103" i="335"/>
  <c r="D103" i="335"/>
  <c r="C103" i="335"/>
  <c r="I102" i="335"/>
  <c r="J102" i="335"/>
  <c r="J101" i="335"/>
  <c r="I101" i="335"/>
  <c r="I100" i="335"/>
  <c r="J100" i="335"/>
  <c r="K99" i="335"/>
  <c r="H99" i="335"/>
  <c r="G99" i="335"/>
  <c r="F99" i="335"/>
  <c r="F75"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J76" i="335"/>
  <c r="H76" i="335"/>
  <c r="I76" i="335"/>
  <c r="H75" i="335"/>
  <c r="I75" i="335"/>
  <c r="J75" i="335"/>
  <c r="G76" i="335"/>
  <c r="G75" i="335"/>
  <c r="F76" i="335"/>
  <c r="E76" i="335"/>
  <c r="E75" i="335"/>
  <c r="D76" i="335"/>
  <c r="D75" i="335"/>
  <c r="C76" i="335"/>
  <c r="C75" i="335"/>
  <c r="J74" i="335"/>
  <c r="I73" i="335"/>
  <c r="J73" i="335" s="1"/>
  <c r="I72" i="335"/>
  <c r="J72" i="335"/>
  <c r="I71" i="335"/>
  <c r="J71" i="335"/>
  <c r="I70" i="335"/>
  <c r="J70" i="335"/>
  <c r="K69" i="335"/>
  <c r="H69" i="335"/>
  <c r="G69" i="335"/>
  <c r="I69" i="335" s="1"/>
  <c r="J69" i="335" s="1"/>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c r="K45" i="335"/>
  <c r="H45" i="335"/>
  <c r="I45" i="335"/>
  <c r="J45" i="335"/>
  <c r="G45" i="335"/>
  <c r="F45" i="335"/>
  <c r="E45" i="335"/>
  <c r="D45" i="335"/>
  <c r="C45" i="335"/>
  <c r="I44" i="335"/>
  <c r="J44" i="335"/>
  <c r="J43" i="335"/>
  <c r="I43" i="335"/>
  <c r="I42" i="335"/>
  <c r="J42" i="335"/>
  <c r="J41" i="335"/>
  <c r="I41" i="335"/>
  <c r="I40" i="335"/>
  <c r="J40" i="335"/>
  <c r="J39" i="335"/>
  <c r="I39" i="335"/>
  <c r="K38" i="335"/>
  <c r="I38" i="335"/>
  <c r="J38" i="335"/>
  <c r="H38" i="335"/>
  <c r="G38" i="335"/>
  <c r="F38" i="335"/>
  <c r="E38" i="335"/>
  <c r="D38" i="335"/>
  <c r="C38" i="335"/>
  <c r="I37" i="335"/>
  <c r="J37" i="335"/>
  <c r="I36" i="335"/>
  <c r="J36" i="335"/>
  <c r="I35" i="335"/>
  <c r="J35" i="335"/>
  <c r="I34" i="335"/>
  <c r="J34" i="335"/>
  <c r="I33" i="335"/>
  <c r="J33" i="335"/>
  <c r="I32" i="335"/>
  <c r="J32" i="335"/>
  <c r="I31" i="335"/>
  <c r="J31" i="335"/>
  <c r="I30" i="335"/>
  <c r="J30" i="335"/>
  <c r="I29" i="335"/>
  <c r="J29" i="335"/>
  <c r="I28" i="335"/>
  <c r="J28" i="335"/>
  <c r="K27" i="335"/>
  <c r="H27" i="335"/>
  <c r="G27" i="335"/>
  <c r="I27" i="335"/>
  <c r="J27" i="335"/>
  <c r="F27" i="335"/>
  <c r="E27" i="335"/>
  <c r="D27" i="335"/>
  <c r="C27" i="335"/>
  <c r="J26" i="335"/>
  <c r="I26" i="335"/>
  <c r="I25" i="335"/>
  <c r="J25" i="335"/>
  <c r="I24" i="335"/>
  <c r="J24" i="335" s="1"/>
  <c r="I23" i="335"/>
  <c r="J23" i="335"/>
  <c r="J22" i="335"/>
  <c r="I22" i="335"/>
  <c r="I21" i="335"/>
  <c r="J21" i="335"/>
  <c r="J20" i="335"/>
  <c r="I20" i="335"/>
  <c r="I19" i="335"/>
  <c r="J19" i="335"/>
  <c r="J18" i="335"/>
  <c r="I18" i="335"/>
  <c r="K17" i="335"/>
  <c r="H17" i="335"/>
  <c r="G17" i="335"/>
  <c r="F17" i="335"/>
  <c r="E17" i="335"/>
  <c r="D17" i="335"/>
  <c r="C17" i="335"/>
  <c r="C7" i="335"/>
  <c r="C166" i="335"/>
  <c r="I16" i="335"/>
  <c r="J16" i="335"/>
  <c r="I15" i="335"/>
  <c r="J15" i="335"/>
  <c r="I14" i="335"/>
  <c r="J14" i="335"/>
  <c r="K13" i="335"/>
  <c r="H13" i="335"/>
  <c r="I13" i="335"/>
  <c r="J13" i="335"/>
  <c r="G13" i="335"/>
  <c r="F13" i="335"/>
  <c r="E13" i="335"/>
  <c r="D13" i="335"/>
  <c r="C13" i="335"/>
  <c r="I12" i="335"/>
  <c r="J12" i="335"/>
  <c r="J11" i="335"/>
  <c r="I11" i="335"/>
  <c r="I10" i="335"/>
  <c r="J10" i="335"/>
  <c r="I9" i="335"/>
  <c r="J9" i="335" s="1"/>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c r="K157" i="333"/>
  <c r="H157" i="333"/>
  <c r="G157" i="333"/>
  <c r="F157" i="333"/>
  <c r="E157" i="333"/>
  <c r="D157" i="333"/>
  <c r="C157" i="333"/>
  <c r="I155" i="333"/>
  <c r="J155" i="333"/>
  <c r="K154" i="333"/>
  <c r="H154" i="333"/>
  <c r="G154" i="333"/>
  <c r="I154" i="333"/>
  <c r="J154" i="333"/>
  <c r="F154" i="333"/>
  <c r="E154" i="333"/>
  <c r="D154" i="333"/>
  <c r="C154" i="333"/>
  <c r="J153" i="333"/>
  <c r="I152" i="333"/>
  <c r="J152" i="333"/>
  <c r="K151" i="333"/>
  <c r="H151" i="333"/>
  <c r="G151" i="333"/>
  <c r="I151" i="333"/>
  <c r="J151" i="333"/>
  <c r="F151" i="333"/>
  <c r="E151" i="333"/>
  <c r="D151" i="333"/>
  <c r="C151" i="333"/>
  <c r="I149" i="333"/>
  <c r="J149" i="333"/>
  <c r="K148" i="333"/>
  <c r="H148" i="333"/>
  <c r="G148" i="333"/>
  <c r="F148" i="333"/>
  <c r="E148" i="333"/>
  <c r="D148" i="333"/>
  <c r="C148" i="333"/>
  <c r="I146" i="333"/>
  <c r="J146" i="333"/>
  <c r="I145" i="333"/>
  <c r="J145" i="333"/>
  <c r="I144" i="333"/>
  <c r="J144" i="333"/>
  <c r="I143" i="333"/>
  <c r="J143" i="333"/>
  <c r="I142" i="333"/>
  <c r="J142" i="333"/>
  <c r="I141" i="333"/>
  <c r="J141" i="333"/>
  <c r="K140" i="333"/>
  <c r="K138" i="333"/>
  <c r="H140" i="333"/>
  <c r="H138" i="333"/>
  <c r="G140" i="333"/>
  <c r="G138" i="333"/>
  <c r="F140" i="333"/>
  <c r="F138" i="333"/>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c r="I131" i="333"/>
  <c r="J131" i="333"/>
  <c r="K130" i="333"/>
  <c r="H130" i="333"/>
  <c r="G130" i="333"/>
  <c r="F130" i="333"/>
  <c r="E130" i="333"/>
  <c r="D130" i="333"/>
  <c r="C130" i="333"/>
  <c r="I129" i="333"/>
  <c r="J129" i="333"/>
  <c r="I128" i="333"/>
  <c r="J128" i="333"/>
  <c r="I127" i="333"/>
  <c r="J127" i="333"/>
  <c r="I126" i="333"/>
  <c r="J126" i="333"/>
  <c r="I125" i="333"/>
  <c r="J125" i="333"/>
  <c r="J124" i="333"/>
  <c r="I124" i="333"/>
  <c r="I123" i="333"/>
  <c r="J123" i="333"/>
  <c r="I122" i="333"/>
  <c r="J122" i="333"/>
  <c r="I121" i="333"/>
  <c r="J121" i="333"/>
  <c r="I120" i="333"/>
  <c r="J120" i="333"/>
  <c r="I119" i="333"/>
  <c r="J119" i="333"/>
  <c r="K118" i="333"/>
  <c r="K117" i="333"/>
  <c r="H118" i="333"/>
  <c r="G118" i="333"/>
  <c r="F118" i="333"/>
  <c r="E118" i="333"/>
  <c r="D118" i="333"/>
  <c r="C118" i="333"/>
  <c r="F117" i="333"/>
  <c r="I116" i="333"/>
  <c r="J116" i="333"/>
  <c r="I115" i="333"/>
  <c r="J115" i="333"/>
  <c r="K114" i="333"/>
  <c r="H114" i="333"/>
  <c r="I114" i="333"/>
  <c r="J114" i="333"/>
  <c r="G114" i="333"/>
  <c r="F114" i="333"/>
  <c r="E114" i="333"/>
  <c r="E110" i="333"/>
  <c r="D114" i="333"/>
  <c r="C114" i="333"/>
  <c r="C110" i="333"/>
  <c r="I113" i="333"/>
  <c r="J113" i="333"/>
  <c r="I112" i="333"/>
  <c r="J112" i="333"/>
  <c r="K111" i="333"/>
  <c r="K110" i="333"/>
  <c r="H111" i="333"/>
  <c r="G111" i="333"/>
  <c r="G110" i="333"/>
  <c r="F111" i="333"/>
  <c r="E111" i="333"/>
  <c r="D111" i="333"/>
  <c r="D110" i="333"/>
  <c r="C111" i="333"/>
  <c r="I109" i="333"/>
  <c r="J109" i="333"/>
  <c r="I108" i="333"/>
  <c r="J108" i="333"/>
  <c r="I107" i="333"/>
  <c r="J107" i="333"/>
  <c r="I106" i="333"/>
  <c r="J106" i="333"/>
  <c r="I105" i="333"/>
  <c r="J105" i="333"/>
  <c r="I104" i="333"/>
  <c r="J104" i="333"/>
  <c r="K103" i="333"/>
  <c r="H103" i="333"/>
  <c r="I103" i="333"/>
  <c r="J103" i="333"/>
  <c r="G103" i="333"/>
  <c r="F103" i="333"/>
  <c r="E103" i="333"/>
  <c r="D103" i="333"/>
  <c r="C103" i="333"/>
  <c r="I102" i="333"/>
  <c r="J102" i="333"/>
  <c r="I101" i="333"/>
  <c r="J101" i="333"/>
  <c r="I100" i="333"/>
  <c r="J100" i="333"/>
  <c r="K99" i="333"/>
  <c r="H99" i="333"/>
  <c r="G99" i="333"/>
  <c r="I99" i="333"/>
  <c r="J99" i="333"/>
  <c r="F99" i="333"/>
  <c r="E99" i="333"/>
  <c r="E75" i="333"/>
  <c r="D99" i="333"/>
  <c r="C99" i="333"/>
  <c r="I98" i="333"/>
  <c r="J98" i="333"/>
  <c r="I97" i="333"/>
  <c r="J97" i="333"/>
  <c r="I96" i="333"/>
  <c r="J96" i="333"/>
  <c r="I95" i="333"/>
  <c r="J95" i="333"/>
  <c r="I94" i="333"/>
  <c r="J94" i="333"/>
  <c r="I93" i="333"/>
  <c r="J93" i="333"/>
  <c r="I92" i="333"/>
  <c r="J92" i="333"/>
  <c r="I91" i="333"/>
  <c r="J91" i="333"/>
  <c r="I90" i="333"/>
  <c r="J90" i="333"/>
  <c r="I89" i="333"/>
  <c r="J89" i="333"/>
  <c r="I88" i="333"/>
  <c r="J88" i="333"/>
  <c r="I87" i="333"/>
  <c r="J87" i="333"/>
  <c r="I86" i="333"/>
  <c r="J86" i="333"/>
  <c r="I85" i="333"/>
  <c r="J85" i="333"/>
  <c r="I84" i="333"/>
  <c r="J84" i="333"/>
  <c r="I83" i="333"/>
  <c r="J83" i="333"/>
  <c r="I82" i="333"/>
  <c r="J82" i="333"/>
  <c r="I81" i="333"/>
  <c r="J81" i="333"/>
  <c r="I80" i="333"/>
  <c r="J80" i="333"/>
  <c r="I79" i="333"/>
  <c r="J79" i="333"/>
  <c r="I78" i="333"/>
  <c r="J78" i="333"/>
  <c r="I77" i="333"/>
  <c r="J77" i="333"/>
  <c r="K76" i="333"/>
  <c r="H76" i="333"/>
  <c r="H75" i="333"/>
  <c r="G76" i="333"/>
  <c r="F76" i="333"/>
  <c r="F75" i="333"/>
  <c r="E76" i="333"/>
  <c r="D76"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J56" i="333"/>
  <c r="I56" i="333"/>
  <c r="I55" i="333"/>
  <c r="J55" i="333"/>
  <c r="I54" i="333"/>
  <c r="J54" i="333"/>
  <c r="C53" i="333"/>
  <c r="I52" i="333"/>
  <c r="J52" i="333"/>
  <c r="I51" i="333"/>
  <c r="J51" i="333"/>
  <c r="I50" i="333"/>
  <c r="J50" i="333"/>
  <c r="I49" i="333"/>
  <c r="J49" i="333"/>
  <c r="I48" i="333"/>
  <c r="J48" i="333"/>
  <c r="I47" i="333"/>
  <c r="J47" i="333"/>
  <c r="I46" i="333"/>
  <c r="J46" i="333"/>
  <c r="K45" i="333"/>
  <c r="K7" i="333"/>
  <c r="H45" i="333"/>
  <c r="G45" i="333"/>
  <c r="F45" i="333"/>
  <c r="E45" i="333"/>
  <c r="D45" i="333"/>
  <c r="D7" i="333"/>
  <c r="C45" i="333"/>
  <c r="C7" i="333"/>
  <c r="I44" i="333"/>
  <c r="J44" i="333"/>
  <c r="I43" i="333"/>
  <c r="J43" i="333"/>
  <c r="I42" i="333"/>
  <c r="J42" i="333"/>
  <c r="I41" i="333"/>
  <c r="J41" i="333"/>
  <c r="I40" i="333"/>
  <c r="J40" i="333"/>
  <c r="I39" i="333"/>
  <c r="J39" i="333"/>
  <c r="K38" i="333"/>
  <c r="H38" i="333"/>
  <c r="G38" i="333"/>
  <c r="F38" i="333"/>
  <c r="E38" i="333"/>
  <c r="D38" i="333"/>
  <c r="C38" i="333"/>
  <c r="I37" i="333"/>
  <c r="J37" i="333"/>
  <c r="I36" i="333"/>
  <c r="J36" i="333"/>
  <c r="I35" i="333"/>
  <c r="J35" i="333"/>
  <c r="I34" i="333"/>
  <c r="J34" i="333"/>
  <c r="J33" i="333"/>
  <c r="I33" i="333"/>
  <c r="I32" i="333"/>
  <c r="J32" i="333"/>
  <c r="I31" i="333"/>
  <c r="J31" i="333"/>
  <c r="I30" i="333"/>
  <c r="J30" i="333"/>
  <c r="I29" i="333"/>
  <c r="J29" i="333"/>
  <c r="I28" i="333"/>
  <c r="J28" i="333"/>
  <c r="K27" i="333"/>
  <c r="H27" i="333"/>
  <c r="G27" i="333"/>
  <c r="F27" i="333"/>
  <c r="E27" i="333"/>
  <c r="D27" i="333"/>
  <c r="C27" i="333"/>
  <c r="I26" i="333"/>
  <c r="J26" i="333"/>
  <c r="I25" i="333"/>
  <c r="J25" i="333"/>
  <c r="I24" i="333"/>
  <c r="J24" i="333"/>
  <c r="I23" i="333"/>
  <c r="J23" i="333"/>
  <c r="I22" i="333"/>
  <c r="J22" i="333"/>
  <c r="I21" i="333"/>
  <c r="J21" i="333"/>
  <c r="I20" i="333"/>
  <c r="J20" i="333"/>
  <c r="I19" i="333"/>
  <c r="J19" i="333"/>
  <c r="I18" i="333"/>
  <c r="J18" i="333"/>
  <c r="K17" i="333"/>
  <c r="H17"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s="1"/>
  <c r="K157" i="325"/>
  <c r="H157" i="325"/>
  <c r="G157" i="325"/>
  <c r="F157" i="325"/>
  <c r="E157" i="325"/>
  <c r="D157" i="325"/>
  <c r="C157" i="325"/>
  <c r="I155" i="325"/>
  <c r="J155" i="325" s="1"/>
  <c r="K154" i="325"/>
  <c r="H154" i="325"/>
  <c r="G154" i="325"/>
  <c r="F154" i="325"/>
  <c r="E154" i="325"/>
  <c r="D154" i="325"/>
  <c r="C154" i="325"/>
  <c r="J153" i="325"/>
  <c r="I152" i="325"/>
  <c r="J152" i="325" s="1"/>
  <c r="K151" i="325"/>
  <c r="H151" i="325"/>
  <c r="G151" i="325"/>
  <c r="F151" i="325"/>
  <c r="E151" i="325"/>
  <c r="E166" i="325" s="1"/>
  <c r="D151" i="325"/>
  <c r="C151" i="325"/>
  <c r="I149" i="325"/>
  <c r="J149" i="325" s="1"/>
  <c r="K148" i="325"/>
  <c r="H148" i="325"/>
  <c r="G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I138" i="325"/>
  <c r="J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s="1"/>
  <c r="I122" i="325"/>
  <c r="J122" i="325"/>
  <c r="I121" i="325"/>
  <c r="J121" i="325"/>
  <c r="I120" i="325"/>
  <c r="J120" i="325"/>
  <c r="I119" i="325"/>
  <c r="J119" i="325" s="1"/>
  <c r="K118" i="325"/>
  <c r="K117" i="325"/>
  <c r="H118" i="325"/>
  <c r="G118" i="325"/>
  <c r="G117" i="325" s="1"/>
  <c r="F118" i="325"/>
  <c r="F117" i="325" s="1"/>
  <c r="E118" i="325"/>
  <c r="E117" i="325"/>
  <c r="D118" i="325"/>
  <c r="D117" i="325"/>
  <c r="C118" i="325"/>
  <c r="C117" i="325"/>
  <c r="I116" i="325"/>
  <c r="J116" i="325"/>
  <c r="I115" i="325"/>
  <c r="J115" i="325"/>
  <c r="K114" i="325"/>
  <c r="H114" i="325"/>
  <c r="G114" i="325"/>
  <c r="F114" i="325"/>
  <c r="E114" i="325"/>
  <c r="D114" i="325"/>
  <c r="D110" i="325"/>
  <c r="C114" i="325"/>
  <c r="I113" i="325"/>
  <c r="J113" i="325"/>
  <c r="I112" i="325"/>
  <c r="J112" i="325"/>
  <c r="K111" i="325"/>
  <c r="H111" i="325"/>
  <c r="G111" i="325"/>
  <c r="G110" i="325"/>
  <c r="F111" i="325"/>
  <c r="E111" i="325"/>
  <c r="D111"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G75" i="325"/>
  <c r="F99" i="325"/>
  <c r="E99" i="325"/>
  <c r="D99" i="325"/>
  <c r="D75" i="325"/>
  <c r="C99" i="325"/>
  <c r="I98" i="325"/>
  <c r="J98" i="325"/>
  <c r="I97" i="325"/>
  <c r="J97" i="325"/>
  <c r="I96" i="325"/>
  <c r="J96" i="325"/>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G76" i="325"/>
  <c r="F76" i="325"/>
  <c r="F75" i="325"/>
  <c r="E76" i="325"/>
  <c r="E75" i="325"/>
  <c r="D76"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s="1"/>
  <c r="I54" i="325"/>
  <c r="J54" i="325"/>
  <c r="C53" i="325"/>
  <c r="I52" i="325"/>
  <c r="J52" i="325"/>
  <c r="I51" i="325"/>
  <c r="J51" i="325"/>
  <c r="I50" i="325"/>
  <c r="J50" i="325"/>
  <c r="I49" i="325"/>
  <c r="J49" i="325"/>
  <c r="I48" i="325"/>
  <c r="J48" i="325"/>
  <c r="I47" i="325"/>
  <c r="J47" i="325"/>
  <c r="I46" i="325"/>
  <c r="J46" i="325"/>
  <c r="K45" i="325"/>
  <c r="H45" i="325"/>
  <c r="I45" i="325"/>
  <c r="G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s="1"/>
  <c r="I25" i="325"/>
  <c r="J25" i="325" s="1"/>
  <c r="I24" i="325"/>
  <c r="J24" i="325" s="1"/>
  <c r="I23" i="325"/>
  <c r="J23" i="325"/>
  <c r="I22" i="325"/>
  <c r="J22" i="325"/>
  <c r="I21" i="325"/>
  <c r="J21" i="325"/>
  <c r="I20" i="325"/>
  <c r="J20" i="325"/>
  <c r="I19" i="325"/>
  <c r="J19" i="325"/>
  <c r="I18" i="325"/>
  <c r="J18" i="325"/>
  <c r="K17" i="325"/>
  <c r="H17" i="325"/>
  <c r="G17" i="325"/>
  <c r="F17" i="325"/>
  <c r="E17" i="325"/>
  <c r="D17" i="325"/>
  <c r="C17" i="325"/>
  <c r="I16" i="325"/>
  <c r="J16" i="325"/>
  <c r="I15" i="325"/>
  <c r="J15" i="325"/>
  <c r="I14" i="325"/>
  <c r="J14" i="325" s="1"/>
  <c r="K13" i="325"/>
  <c r="H13" i="325"/>
  <c r="G13" i="325"/>
  <c r="F13" i="325"/>
  <c r="E13" i="325"/>
  <c r="E7" i="325"/>
  <c r="D13" i="325"/>
  <c r="C13" i="325"/>
  <c r="I12" i="325"/>
  <c r="J12" i="325"/>
  <c r="I11" i="325"/>
  <c r="J11" i="325"/>
  <c r="I10" i="325"/>
  <c r="J10" i="325"/>
  <c r="I9" i="325"/>
  <c r="J9" i="325" s="1"/>
  <c r="C8" i="325"/>
  <c r="J165" i="326"/>
  <c r="I164" i="326"/>
  <c r="J164" i="326"/>
  <c r="K163" i="326"/>
  <c r="H163" i="326"/>
  <c r="I163" i="326"/>
  <c r="G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c r="K154" i="326"/>
  <c r="H154" i="326"/>
  <c r="G154" i="326"/>
  <c r="F154" i="326"/>
  <c r="E154" i="326"/>
  <c r="D154" i="326"/>
  <c r="C154" i="326"/>
  <c r="J153" i="326"/>
  <c r="I152" i="326"/>
  <c r="J152" i="326"/>
  <c r="K151" i="326"/>
  <c r="H151" i="326"/>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c r="I107" i="326"/>
  <c r="J107" i="326"/>
  <c r="I106" i="326"/>
  <c r="J106" i="326"/>
  <c r="I105" i="326"/>
  <c r="J105" i="326"/>
  <c r="I104" i="326"/>
  <c r="J104" i="326"/>
  <c r="K103" i="326"/>
  <c r="H103" i="326"/>
  <c r="G103" i="326"/>
  <c r="F103" i="326"/>
  <c r="E103" i="326"/>
  <c r="D103" i="326"/>
  <c r="C103" i="326"/>
  <c r="I102" i="326"/>
  <c r="J102" i="326"/>
  <c r="I101" i="326"/>
  <c r="J101" i="326"/>
  <c r="I100" i="326"/>
  <c r="J100" i="326"/>
  <c r="K99" i="326"/>
  <c r="K75" i="326"/>
  <c r="H99" i="326"/>
  <c r="G99" i="326"/>
  <c r="F99"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H76" i="326"/>
  <c r="G76" i="326"/>
  <c r="F76" i="326"/>
  <c r="F75"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G63" i="326"/>
  <c r="I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c r="K45" i="326"/>
  <c r="H45" i="326"/>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I161" i="242"/>
  <c r="J161" i="242"/>
  <c r="K160" i="242"/>
  <c r="H160" i="242"/>
  <c r="G160" i="242"/>
  <c r="F160" i="242"/>
  <c r="E160" i="242"/>
  <c r="D160" i="242"/>
  <c r="C160" i="242"/>
  <c r="K140" i="242"/>
  <c r="K138" i="242"/>
  <c r="H140" i="242"/>
  <c r="H138" i="242"/>
  <c r="G140" i="242"/>
  <c r="F140" i="242"/>
  <c r="F138" i="242"/>
  <c r="E140" i="242"/>
  <c r="E138" i="242"/>
  <c r="D140" i="242"/>
  <c r="D138" i="242"/>
  <c r="C140" i="242"/>
  <c r="C138" i="242"/>
  <c r="I142" i="242"/>
  <c r="J142" i="242"/>
  <c r="I141" i="242"/>
  <c r="J141" i="242"/>
  <c r="I144" i="242"/>
  <c r="J144" i="242"/>
  <c r="I143" i="242"/>
  <c r="J143" i="242"/>
  <c r="I145" i="242"/>
  <c r="J145" i="242"/>
  <c r="J165" i="242"/>
  <c r="I164" i="242"/>
  <c r="J164" i="242"/>
  <c r="K163" i="242"/>
  <c r="H163" i="242"/>
  <c r="G163" i="242"/>
  <c r="F163" i="242"/>
  <c r="E163" i="242"/>
  <c r="D163" i="242"/>
  <c r="C163" i="242"/>
  <c r="I158" i="242"/>
  <c r="J158" i="242"/>
  <c r="K157" i="242"/>
  <c r="H157" i="242"/>
  <c r="G157" i="242"/>
  <c r="F157" i="242"/>
  <c r="E157" i="242"/>
  <c r="D157" i="242"/>
  <c r="C157" i="242"/>
  <c r="I155" i="242"/>
  <c r="J155" i="242"/>
  <c r="K154" i="242"/>
  <c r="H154" i="242"/>
  <c r="G154" i="242"/>
  <c r="F154" i="242"/>
  <c r="E154" i="242"/>
  <c r="D154" i="242"/>
  <c r="C154" i="242"/>
  <c r="J153" i="242"/>
  <c r="I152" i="242"/>
  <c r="J152" i="242"/>
  <c r="K151" i="242"/>
  <c r="H151" i="242"/>
  <c r="I151" i="242"/>
  <c r="J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D110" i="242"/>
  <c r="C111" i="242"/>
  <c r="C110" i="242"/>
  <c r="K114" i="242"/>
  <c r="H114" i="242"/>
  <c r="G114" i="242"/>
  <c r="F114" i="242"/>
  <c r="E114" i="242"/>
  <c r="D114" i="242"/>
  <c r="C114"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H76" i="242"/>
  <c r="G76" i="242"/>
  <c r="F76" i="242"/>
  <c r="E76" i="242"/>
  <c r="D76" i="242"/>
  <c r="C99" i="242"/>
  <c r="C76" i="242"/>
  <c r="I87" i="242"/>
  <c r="J87" i="242"/>
  <c r="I86" i="242"/>
  <c r="J86" i="242"/>
  <c r="I85" i="242"/>
  <c r="J85" i="242"/>
  <c r="I84" i="242"/>
  <c r="J84" i="242"/>
  <c r="I83" i="242"/>
  <c r="J83" i="242"/>
  <c r="I82" i="242"/>
  <c r="J82" i="242"/>
  <c r="I81" i="242"/>
  <c r="J81" i="242"/>
  <c r="I80" i="242"/>
  <c r="J80" i="242"/>
  <c r="I79" i="242"/>
  <c r="J79" i="242"/>
  <c r="I78" i="242"/>
  <c r="J78" i="242"/>
  <c r="I77" i="242"/>
  <c r="J77" i="242"/>
  <c r="K63" i="242"/>
  <c r="H63" i="242"/>
  <c r="G63" i="242"/>
  <c r="F63" i="242"/>
  <c r="E63" i="242"/>
  <c r="D63" i="242"/>
  <c r="C63" i="242"/>
  <c r="I68" i="242"/>
  <c r="J68" i="242"/>
  <c r="I67" i="242"/>
  <c r="J67" i="242"/>
  <c r="I66" i="242"/>
  <c r="J66" i="242"/>
  <c r="I65" i="242"/>
  <c r="J65" i="242"/>
  <c r="I64" i="242"/>
  <c r="J64" i="242"/>
  <c r="D17" i="242"/>
  <c r="E17" i="242"/>
  <c r="E7" i="242" s="1"/>
  <c r="F17" i="242"/>
  <c r="G17" i="242"/>
  <c r="H17" i="242"/>
  <c r="H7" i="242" s="1"/>
  <c r="H166" i="242" s="1"/>
  <c r="K17" i="242"/>
  <c r="I18" i="242"/>
  <c r="J18" i="242"/>
  <c r="I19" i="242"/>
  <c r="J19" i="242"/>
  <c r="I20" i="242"/>
  <c r="J20" i="242"/>
  <c r="I21" i="242"/>
  <c r="J21" i="242"/>
  <c r="I22" i="242"/>
  <c r="J22" i="242"/>
  <c r="I23" i="242"/>
  <c r="J23" i="242"/>
  <c r="I24" i="242"/>
  <c r="J24" i="242" s="1"/>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I46" i="242"/>
  <c r="J46" i="242"/>
  <c r="K45" i="242"/>
  <c r="H45" i="242"/>
  <c r="I45" i="242"/>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C7" i="242"/>
  <c r="I10" i="242"/>
  <c r="J10" i="242"/>
  <c r="I9" i="242"/>
  <c r="J9" i="242" s="1"/>
  <c r="I243" i="330"/>
  <c r="J243" i="330"/>
  <c r="A243" i="330"/>
  <c r="A239" i="330"/>
  <c r="K235" i="330"/>
  <c r="K47" i="241"/>
  <c r="H235" i="330"/>
  <c r="H47" i="241" s="1"/>
  <c r="G235" i="330"/>
  <c r="G47" i="241" s="1"/>
  <c r="F235" i="330"/>
  <c r="F47" i="241"/>
  <c r="E235" i="330"/>
  <c r="E47" i="241" s="1"/>
  <c r="D235" i="330"/>
  <c r="D47" i="241"/>
  <c r="C235" i="330"/>
  <c r="C47" i="241"/>
  <c r="I238" i="330"/>
  <c r="J238" i="330" s="1"/>
  <c r="A238" i="330"/>
  <c r="I237" i="330"/>
  <c r="J237" i="330"/>
  <c r="A237" i="330"/>
  <c r="I236" i="330"/>
  <c r="J236" i="330"/>
  <c r="A236" i="330"/>
  <c r="I233" i="330"/>
  <c r="J233" i="330" s="1"/>
  <c r="A233" i="330"/>
  <c r="I228" i="330"/>
  <c r="J228" i="330"/>
  <c r="A228" i="330"/>
  <c r="A229" i="330"/>
  <c r="I229" i="330"/>
  <c r="J229" i="330"/>
  <c r="I224" i="330"/>
  <c r="J224" i="330"/>
  <c r="A224" i="330"/>
  <c r="A220" i="330"/>
  <c r="A219" i="330"/>
  <c r="A218" i="330"/>
  <c r="A217" i="330"/>
  <c r="A216" i="330"/>
  <c r="I219" i="330"/>
  <c r="J219" i="330"/>
  <c r="I218" i="330"/>
  <c r="J218" i="330"/>
  <c r="I217" i="330"/>
  <c r="J217" i="330"/>
  <c r="A213" i="330"/>
  <c r="A212" i="330"/>
  <c r="A211" i="330"/>
  <c r="A210" i="330"/>
  <c r="I211" i="330"/>
  <c r="J211" i="330"/>
  <c r="A208" i="330"/>
  <c r="A207" i="330"/>
  <c r="A206" i="330"/>
  <c r="A205" i="330"/>
  <c r="A204" i="330"/>
  <c r="A203" i="330"/>
  <c r="A202" i="330"/>
  <c r="A201" i="330"/>
  <c r="A200" i="330"/>
  <c r="A199" i="330"/>
  <c r="I203" i="330"/>
  <c r="J203" i="330" s="1"/>
  <c r="I204" i="330"/>
  <c r="J204" i="330" s="1"/>
  <c r="I202" i="330"/>
  <c r="J202" i="330" s="1"/>
  <c r="I201" i="330"/>
  <c r="J201" i="330"/>
  <c r="I200" i="330"/>
  <c r="J200" i="330" s="1"/>
  <c r="I206" i="330"/>
  <c r="J206" i="330"/>
  <c r="I205" i="330"/>
  <c r="J205" i="330" s="1"/>
  <c r="I207" i="330"/>
  <c r="J207" i="330"/>
  <c r="I208" i="330"/>
  <c r="J208" i="330"/>
  <c r="A196" i="330"/>
  <c r="A195" i="330"/>
  <c r="A194" i="330"/>
  <c r="A193" i="330"/>
  <c r="A192" i="330"/>
  <c r="A191" i="330"/>
  <c r="A190" i="330"/>
  <c r="I192" i="330"/>
  <c r="J192" i="330" s="1"/>
  <c r="I191" i="330"/>
  <c r="J191" i="330" s="1"/>
  <c r="I194" i="330"/>
  <c r="J194" i="330"/>
  <c r="I193" i="330"/>
  <c r="J193" i="330"/>
  <c r="A188" i="330"/>
  <c r="A187" i="330"/>
  <c r="K186" i="330"/>
  <c r="K37" i="241"/>
  <c r="H186" i="330"/>
  <c r="H37" i="241" s="1"/>
  <c r="G186" i="330"/>
  <c r="F186" i="330"/>
  <c r="F37" i="241" s="1"/>
  <c r="E186" i="330"/>
  <c r="E37" i="241" s="1"/>
  <c r="D186" i="330"/>
  <c r="D37" i="241"/>
  <c r="C186" i="330"/>
  <c r="C37" i="241"/>
  <c r="I188" i="330"/>
  <c r="J188" i="330" s="1"/>
  <c r="I187" i="330"/>
  <c r="J187" i="330" s="1"/>
  <c r="A176" i="330"/>
  <c r="A175" i="330"/>
  <c r="A174" i="330"/>
  <c r="K171" i="330"/>
  <c r="K35" i="241"/>
  <c r="H171" i="330"/>
  <c r="H35" i="241" s="1"/>
  <c r="G171" i="330"/>
  <c r="F171" i="330"/>
  <c r="F35" i="241" s="1"/>
  <c r="E171" i="330"/>
  <c r="D171" i="330"/>
  <c r="D35" i="241"/>
  <c r="C171" i="330"/>
  <c r="C35" i="241"/>
  <c r="I176" i="330"/>
  <c r="J176" i="330"/>
  <c r="I175" i="330"/>
  <c r="J175" i="330" s="1"/>
  <c r="I174" i="330"/>
  <c r="J174" i="330"/>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s="1"/>
  <c r="I157" i="330"/>
  <c r="J157" i="330" s="1"/>
  <c r="I156" i="330"/>
  <c r="J156" i="330" s="1"/>
  <c r="I155" i="330"/>
  <c r="J155" i="330"/>
  <c r="I154" i="330"/>
  <c r="J154" i="330"/>
  <c r="I153" i="330"/>
  <c r="J153" i="330"/>
  <c r="I152" i="330"/>
  <c r="J152" i="330"/>
  <c r="I151" i="330"/>
  <c r="J151" i="330"/>
  <c r="I164" i="330"/>
  <c r="J164" i="330"/>
  <c r="I163" i="330"/>
  <c r="J163" i="330" s="1"/>
  <c r="I162" i="330"/>
  <c r="J162" i="330" s="1"/>
  <c r="I161" i="330"/>
  <c r="J161" i="330" s="1"/>
  <c r="I160" i="330"/>
  <c r="J160" i="330" s="1"/>
  <c r="I159" i="330"/>
  <c r="J159" i="330" s="1"/>
  <c r="A147" i="330"/>
  <c r="A145" i="330"/>
  <c r="A144" i="330"/>
  <c r="A143" i="330"/>
  <c r="A142" i="330"/>
  <c r="A141" i="330"/>
  <c r="A140" i="330"/>
  <c r="A139" i="330"/>
  <c r="A138" i="330"/>
  <c r="A137" i="330"/>
  <c r="A136" i="330"/>
  <c r="A135" i="330"/>
  <c r="A134" i="330"/>
  <c r="A133" i="330"/>
  <c r="K132" i="330"/>
  <c r="K31" i="241"/>
  <c r="H132" i="330"/>
  <c r="G132" i="330"/>
  <c r="G31" i="241" s="1"/>
  <c r="F132" i="330"/>
  <c r="F31" i="241" s="1"/>
  <c r="E132" i="330"/>
  <c r="E31" i="241" s="1"/>
  <c r="D132" i="330"/>
  <c r="D128" i="330" s="1"/>
  <c r="D247" i="330" s="1"/>
  <c r="K27" i="330"/>
  <c r="H27" i="330"/>
  <c r="H11" i="241" s="1"/>
  <c r="G27" i="330"/>
  <c r="G11" i="241" s="1"/>
  <c r="F27" i="330"/>
  <c r="F11" i="241" s="1"/>
  <c r="E27" i="330"/>
  <c r="E11" i="241"/>
  <c r="D27" i="330"/>
  <c r="C27" i="330"/>
  <c r="C11" i="241"/>
  <c r="K10" i="330"/>
  <c r="H10" i="330"/>
  <c r="H8" i="241" s="1"/>
  <c r="H6" i="241" s="1"/>
  <c r="G10" i="330"/>
  <c r="G6" i="330" s="1"/>
  <c r="F10" i="330"/>
  <c r="F6" i="330" s="1"/>
  <c r="E10" i="330"/>
  <c r="E8" i="241" s="1"/>
  <c r="E6" i="241" s="1"/>
  <c r="D10" i="330"/>
  <c r="D8" i="241"/>
  <c r="D6" i="241" s="1"/>
  <c r="D26" i="241" s="1"/>
  <c r="C10" i="330"/>
  <c r="C132" i="330"/>
  <c r="C31" i="241"/>
  <c r="I145" i="330"/>
  <c r="J145" i="330"/>
  <c r="I144" i="330"/>
  <c r="J144" i="330" s="1"/>
  <c r="I143" i="330"/>
  <c r="J143" i="330" s="1"/>
  <c r="I142" i="330"/>
  <c r="J142" i="330" s="1"/>
  <c r="I141" i="330"/>
  <c r="J141" i="330" s="1"/>
  <c r="I140" i="330"/>
  <c r="J140" i="330" s="1"/>
  <c r="I139" i="330"/>
  <c r="J139" i="330" s="1"/>
  <c r="I138" i="330"/>
  <c r="J138" i="330" s="1"/>
  <c r="I137" i="330"/>
  <c r="J137" i="330" s="1"/>
  <c r="I136" i="330"/>
  <c r="J136" i="330" s="1"/>
  <c r="I135" i="330"/>
  <c r="J135" i="330" s="1"/>
  <c r="I134" i="330"/>
  <c r="J134" i="330"/>
  <c r="I133" i="330"/>
  <c r="J133" i="330" s="1"/>
  <c r="A146" i="330"/>
  <c r="C146" i="330"/>
  <c r="C32" i="241"/>
  <c r="D146" i="330"/>
  <c r="E146" i="330"/>
  <c r="E32" i="241"/>
  <c r="F146" i="330"/>
  <c r="F32" i="241" s="1"/>
  <c r="G146" i="330"/>
  <c r="G32" i="241" s="1"/>
  <c r="K146" i="330"/>
  <c r="K32" i="241"/>
  <c r="I147" i="330"/>
  <c r="J147" i="330" s="1"/>
  <c r="A148" i="330"/>
  <c r="A149" i="330"/>
  <c r="C149" i="330"/>
  <c r="C34" i="241"/>
  <c r="D149" i="330"/>
  <c r="D34" i="241"/>
  <c r="E149" i="330"/>
  <c r="E34" i="241"/>
  <c r="F149" i="330"/>
  <c r="F34" i="241" s="1"/>
  <c r="G149" i="330"/>
  <c r="G34" i="241" s="1"/>
  <c r="H149" i="330"/>
  <c r="H34" i="241" s="1"/>
  <c r="K149" i="330"/>
  <c r="I150" i="330"/>
  <c r="J150" i="330"/>
  <c r="I165" i="330"/>
  <c r="J165" i="330"/>
  <c r="I166" i="330"/>
  <c r="J166" i="330"/>
  <c r="I167" i="330"/>
  <c r="J167" i="330"/>
  <c r="I168" i="330"/>
  <c r="J168" i="330"/>
  <c r="I169" i="330"/>
  <c r="J169" i="330"/>
  <c r="I170" i="330"/>
  <c r="J170" i="330"/>
  <c r="I121" i="330"/>
  <c r="J121" i="330"/>
  <c r="K113" i="330"/>
  <c r="K24" i="241"/>
  <c r="H113" i="330"/>
  <c r="H24" i="241" s="1"/>
  <c r="H100" i="330"/>
  <c r="H21" i="241" s="1"/>
  <c r="G113" i="330"/>
  <c r="F113" i="330"/>
  <c r="F24" i="241" s="1"/>
  <c r="E113" i="330"/>
  <c r="E24" i="241"/>
  <c r="D113" i="330"/>
  <c r="D24" i="241"/>
  <c r="C113" i="330"/>
  <c r="C99" i="330"/>
  <c r="C24" i="241"/>
  <c r="C20" i="241"/>
  <c r="I115" i="330"/>
  <c r="J115" i="330"/>
  <c r="I114" i="330"/>
  <c r="J114" i="330"/>
  <c r="I117" i="330"/>
  <c r="J117" i="330"/>
  <c r="I111" i="330"/>
  <c r="J111" i="330"/>
  <c r="I106" i="330"/>
  <c r="J106" i="330"/>
  <c r="I102" i="330"/>
  <c r="J102" i="330"/>
  <c r="I95" i="330"/>
  <c r="J95" i="330"/>
  <c r="I94" i="330"/>
  <c r="J94" i="330"/>
  <c r="I96" i="330"/>
  <c r="J96" i="330"/>
  <c r="K76" i="330"/>
  <c r="K75" i="330"/>
  <c r="K17" i="241"/>
  <c r="H76" i="330"/>
  <c r="H17" i="241" s="1"/>
  <c r="H87" i="330"/>
  <c r="H18" i="241" s="1"/>
  <c r="G76" i="330"/>
  <c r="F76" i="330"/>
  <c r="F17" i="241" s="1"/>
  <c r="E76" i="330"/>
  <c r="E17" i="241"/>
  <c r="D76" i="330"/>
  <c r="D17" i="241"/>
  <c r="C76" i="330"/>
  <c r="C17" i="241"/>
  <c r="I77" i="330"/>
  <c r="J77" i="330"/>
  <c r="I81" i="330"/>
  <c r="J81" i="330" s="1"/>
  <c r="I80" i="330"/>
  <c r="J80" i="330"/>
  <c r="I79" i="330"/>
  <c r="J79" i="330"/>
  <c r="I78" i="330"/>
  <c r="J78" i="330"/>
  <c r="I83" i="330"/>
  <c r="J83" i="330"/>
  <c r="I82" i="330"/>
  <c r="J82" i="330" s="1"/>
  <c r="K67" i="330"/>
  <c r="K15" i="241"/>
  <c r="H67" i="330"/>
  <c r="H15" i="241" s="1"/>
  <c r="G67" i="330"/>
  <c r="G15" i="241" s="1"/>
  <c r="F67" i="330"/>
  <c r="F15" i="241" s="1"/>
  <c r="E67" i="330"/>
  <c r="E15" i="241"/>
  <c r="D67" i="330"/>
  <c r="C67" i="330"/>
  <c r="C15" i="241"/>
  <c r="H64" i="330"/>
  <c r="H14" i="241" s="1"/>
  <c r="G64" i="330"/>
  <c r="G14" i="241" s="1"/>
  <c r="F64" i="330"/>
  <c r="F14" i="241" s="1"/>
  <c r="E64" i="330"/>
  <c r="E14" i="241"/>
  <c r="D64" i="330"/>
  <c r="D14" i="241"/>
  <c r="K64" i="330"/>
  <c r="C64" i="330"/>
  <c r="C14" i="241"/>
  <c r="I69" i="330"/>
  <c r="J69" i="330" s="1"/>
  <c r="I68" i="330"/>
  <c r="J68" i="330"/>
  <c r="I71" i="330"/>
  <c r="J71" i="330"/>
  <c r="I70" i="330"/>
  <c r="J70" i="330"/>
  <c r="I66" i="330"/>
  <c r="J66" i="330"/>
  <c r="I65" i="330"/>
  <c r="J65" i="330" s="1"/>
  <c r="I58" i="330"/>
  <c r="J58" i="330"/>
  <c r="K49" i="330"/>
  <c r="K12" i="241"/>
  <c r="H49" i="330"/>
  <c r="G49" i="330"/>
  <c r="G12" i="241" s="1"/>
  <c r="F49" i="330"/>
  <c r="F12" i="241" s="1"/>
  <c r="E49" i="330"/>
  <c r="E12" i="241"/>
  <c r="D49" i="330"/>
  <c r="D12" i="241"/>
  <c r="C49" i="330"/>
  <c r="C12" i="241"/>
  <c r="I54" i="330"/>
  <c r="J54" i="330"/>
  <c r="I53" i="330"/>
  <c r="J53" i="330" s="1"/>
  <c r="I52" i="330"/>
  <c r="J52" i="330"/>
  <c r="I51" i="330"/>
  <c r="J51" i="330"/>
  <c r="I50" i="330"/>
  <c r="J50" i="330"/>
  <c r="C55" i="330"/>
  <c r="C13" i="241"/>
  <c r="D55" i="330"/>
  <c r="D13" i="241"/>
  <c r="E55" i="330"/>
  <c r="E13" i="241"/>
  <c r="F55" i="330"/>
  <c r="F13" i="241" s="1"/>
  <c r="G55" i="330"/>
  <c r="G13" i="241" s="1"/>
  <c r="H55" i="330"/>
  <c r="H13" i="241" s="1"/>
  <c r="K55" i="330"/>
  <c r="K13" i="241"/>
  <c r="I56" i="330"/>
  <c r="J56" i="330" s="1"/>
  <c r="I57" i="330"/>
  <c r="J57" i="330"/>
  <c r="I59" i="330"/>
  <c r="J59" i="330"/>
  <c r="I60" i="330"/>
  <c r="J60" i="330"/>
  <c r="I40" i="330"/>
  <c r="J40" i="330"/>
  <c r="I39" i="330"/>
  <c r="J39" i="330"/>
  <c r="I38" i="330"/>
  <c r="J38" i="330"/>
  <c r="I37" i="330"/>
  <c r="J37" i="330"/>
  <c r="I36" i="330"/>
  <c r="J36" i="330"/>
  <c r="I35" i="330"/>
  <c r="J35" i="330"/>
  <c r="I34" i="330"/>
  <c r="J34" i="330"/>
  <c r="I33" i="330"/>
  <c r="J33" i="330"/>
  <c r="I32" i="330"/>
  <c r="J32" i="330"/>
  <c r="I31" i="330"/>
  <c r="J31" i="330"/>
  <c r="I30" i="330"/>
  <c r="J30" i="330"/>
  <c r="I29" i="330"/>
  <c r="J29" i="330"/>
  <c r="I28" i="330"/>
  <c r="J28" i="330"/>
  <c r="I16" i="330"/>
  <c r="J16" i="330"/>
  <c r="I17" i="330"/>
  <c r="J17" i="330"/>
  <c r="I15" i="330"/>
  <c r="J15" i="330" s="1"/>
  <c r="I14" i="330"/>
  <c r="J14" i="330"/>
  <c r="I13" i="330"/>
  <c r="J13" i="330" s="1"/>
  <c r="I12" i="330"/>
  <c r="J12" i="330"/>
  <c r="I11" i="330"/>
  <c r="J11" i="330"/>
  <c r="I19" i="330"/>
  <c r="J19" i="330"/>
  <c r="I18" i="330"/>
  <c r="J18" i="330"/>
  <c r="I23" i="330"/>
  <c r="J23" i="330"/>
  <c r="I22" i="330"/>
  <c r="J22" i="330"/>
  <c r="I21" i="330"/>
  <c r="J21" i="330"/>
  <c r="I20" i="330"/>
  <c r="J20" i="330"/>
  <c r="E81" i="100"/>
  <c r="E79" i="100"/>
  <c r="F81" i="100"/>
  <c r="F79" i="100"/>
  <c r="A21" i="267"/>
  <c r="I8" i="177"/>
  <c r="J8" i="177" s="1"/>
  <c r="I9" i="177"/>
  <c r="J9" i="177" s="1"/>
  <c r="H40" i="177"/>
  <c r="J8" i="267"/>
  <c r="L20" i="175"/>
  <c r="L19" i="175"/>
  <c r="L18" i="175"/>
  <c r="L17" i="175"/>
  <c r="L9" i="175"/>
  <c r="L10" i="175"/>
  <c r="L13" i="175"/>
  <c r="K15" i="175"/>
  <c r="L15" i="175"/>
  <c r="L12" i="175"/>
  <c r="L11" i="175"/>
  <c r="L8" i="175"/>
  <c r="L7" i="175"/>
  <c r="L6" i="175"/>
  <c r="L5" i="175"/>
  <c r="X11" i="329"/>
  <c r="A1" i="241" s="1"/>
  <c r="F9" i="334"/>
  <c r="G30" i="334"/>
  <c r="G29" i="334"/>
  <c r="F46" i="334"/>
  <c r="F44" i="334"/>
  <c r="F45" i="334"/>
  <c r="G44"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s="1"/>
  <c r="B80" i="172" s="1"/>
  <c r="K13" i="175"/>
  <c r="K12" i="175"/>
  <c r="K11" i="175"/>
  <c r="K10" i="175"/>
  <c r="K9" i="175"/>
  <c r="K8" i="175"/>
  <c r="K7" i="175"/>
  <c r="A50" i="334"/>
  <c r="A46" i="334"/>
  <c r="E44" i="334"/>
  <c r="D44" i="334"/>
  <c r="C44" i="334"/>
  <c r="A43" i="334"/>
  <c r="E41" i="334"/>
  <c r="D41" i="334"/>
  <c r="C41" i="334"/>
  <c r="A40" i="334"/>
  <c r="E38" i="334"/>
  <c r="E47" i="334"/>
  <c r="D38" i="334"/>
  <c r="C38" i="334"/>
  <c r="A37" i="334"/>
  <c r="A36" i="334"/>
  <c r="A35" i="334"/>
  <c r="A34" i="334"/>
  <c r="A33" i="334"/>
  <c r="A32" i="334"/>
  <c r="E31" i="334"/>
  <c r="D31" i="334"/>
  <c r="D47" i="334"/>
  <c r="C31" i="334"/>
  <c r="C47"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E10" i="267"/>
  <c r="D10" i="267"/>
  <c r="C10" i="267"/>
  <c r="A10" i="269"/>
  <c r="A11" i="269"/>
  <c r="A12" i="269"/>
  <c r="A13" i="269"/>
  <c r="A14" i="269"/>
  <c r="G8" i="267"/>
  <c r="F8" i="267"/>
  <c r="H8" i="267" s="1"/>
  <c r="I8" i="267" s="1"/>
  <c r="E8" i="267"/>
  <c r="D8" i="267"/>
  <c r="C8" i="267"/>
  <c r="B10" i="267"/>
  <c r="B8" i="267"/>
  <c r="B9" i="267"/>
  <c r="C307" i="322"/>
  <c r="I92" i="318"/>
  <c r="J92" i="318"/>
  <c r="I91" i="318"/>
  <c r="J91" i="318"/>
  <c r="I90" i="318"/>
  <c r="J90" i="318"/>
  <c r="I89" i="318"/>
  <c r="J89" i="318"/>
  <c r="I78" i="318"/>
  <c r="J78" i="318"/>
  <c r="I77" i="318"/>
  <c r="J77" i="318"/>
  <c r="I76" i="318"/>
  <c r="J76" i="318"/>
  <c r="I75" i="318"/>
  <c r="J75" i="318"/>
  <c r="I63" i="318"/>
  <c r="J63" i="318"/>
  <c r="I61" i="318"/>
  <c r="J61" i="318"/>
  <c r="I60" i="318"/>
  <c r="J60" i="318"/>
  <c r="I59" i="318"/>
  <c r="J59" i="318"/>
  <c r="I58" i="318"/>
  <c r="J58" i="318"/>
  <c r="I57" i="318"/>
  <c r="J57" i="318"/>
  <c r="I41" i="318"/>
  <c r="J41" i="318" s="1"/>
  <c r="I40" i="318"/>
  <c r="J40" i="318"/>
  <c r="I39" i="318"/>
  <c r="J39" i="318" s="1"/>
  <c r="I34" i="318"/>
  <c r="J34" i="318" s="1"/>
  <c r="I35" i="318"/>
  <c r="J35" i="318" s="1"/>
  <c r="I36" i="318"/>
  <c r="J36" i="318" s="1"/>
  <c r="I37" i="318"/>
  <c r="J37" i="318" s="1"/>
  <c r="I38" i="318"/>
  <c r="J38" i="318" s="1"/>
  <c r="I42" i="318"/>
  <c r="J42" i="318" s="1"/>
  <c r="I43" i="318"/>
  <c r="J43" i="318" s="1"/>
  <c r="I44" i="318"/>
  <c r="J44" i="318"/>
  <c r="I45" i="318"/>
  <c r="J45" i="318"/>
  <c r="I23" i="318"/>
  <c r="J23" i="318"/>
  <c r="I25" i="318"/>
  <c r="J25" i="318"/>
  <c r="I24" i="318"/>
  <c r="J24" i="318"/>
  <c r="I22" i="318"/>
  <c r="J22" i="318" s="1"/>
  <c r="I12" i="318"/>
  <c r="J12" i="318"/>
  <c r="I11" i="318"/>
  <c r="J11" i="318"/>
  <c r="I10" i="318"/>
  <c r="J10" i="318"/>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c r="D174" i="323"/>
  <c r="E174" i="323"/>
  <c r="F174" i="323"/>
  <c r="F24" i="272" s="1"/>
  <c r="G174" i="323"/>
  <c r="H174" i="323"/>
  <c r="H24" i="272" s="1"/>
  <c r="K174" i="323"/>
  <c r="K24" i="272"/>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72"/>
  <c r="A3" i="332"/>
  <c r="A187" i="324"/>
  <c r="A17" i="323"/>
  <c r="D3" i="332"/>
  <c r="A4" i="332"/>
  <c r="A29" i="324"/>
  <c r="D4" i="332"/>
  <c r="A5" i="332"/>
  <c r="A9" i="268"/>
  <c r="D5" i="332"/>
  <c r="A6" i="332"/>
  <c r="A10" i="272"/>
  <c r="D6" i="332"/>
  <c r="A7" i="332"/>
  <c r="A229" i="323"/>
  <c r="D7" i="332"/>
  <c r="A8" i="332"/>
  <c r="A240" i="323"/>
  <c r="A12" i="268"/>
  <c r="D8" i="332"/>
  <c r="A9" i="332"/>
  <c r="A253" i="324"/>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c r="I41" i="182"/>
  <c r="J41" i="182"/>
  <c r="I39" i="182"/>
  <c r="J39" i="182" s="1"/>
  <c r="K70" i="268"/>
  <c r="K74" i="268"/>
  <c r="K57" i="268"/>
  <c r="H57" i="268"/>
  <c r="G57" i="268"/>
  <c r="F57" i="268"/>
  <c r="E57" i="268"/>
  <c r="D57" i="268"/>
  <c r="C57" i="268"/>
  <c r="C118" i="330"/>
  <c r="C25" i="241"/>
  <c r="K8" i="241"/>
  <c r="C8" i="241"/>
  <c r="J12" i="267"/>
  <c r="J13" i="267"/>
  <c r="J14" i="267"/>
  <c r="J15" i="267"/>
  <c r="J16" i="267"/>
  <c r="J17" i="267"/>
  <c r="G12" i="267"/>
  <c r="G13" i="267"/>
  <c r="G14" i="267"/>
  <c r="H14" i="267" s="1"/>
  <c r="I14" i="267" s="1"/>
  <c r="G15" i="267"/>
  <c r="H36" i="182"/>
  <c r="G16" i="267"/>
  <c r="G17" i="267"/>
  <c r="F12" i="267"/>
  <c r="F13" i="267"/>
  <c r="H13" i="267"/>
  <c r="I13" i="267" s="1"/>
  <c r="F14" i="267"/>
  <c r="F15" i="267"/>
  <c r="F16" i="267"/>
  <c r="F17" i="267"/>
  <c r="E12" i="267"/>
  <c r="E13" i="267"/>
  <c r="E14" i="267"/>
  <c r="E15" i="267"/>
  <c r="E16" i="267"/>
  <c r="E17" i="267"/>
  <c r="D12" i="267"/>
  <c r="D18" i="267" s="1"/>
  <c r="D13" i="267"/>
  <c r="D14" i="267"/>
  <c r="D15" i="267"/>
  <c r="D16" i="267"/>
  <c r="D17" i="267"/>
  <c r="C12" i="267"/>
  <c r="C13" i="267"/>
  <c r="C14" i="267"/>
  <c r="C15" i="267"/>
  <c r="C16" i="267"/>
  <c r="C17" i="267"/>
  <c r="B12" i="267"/>
  <c r="B13" i="267"/>
  <c r="B14" i="267"/>
  <c r="B15" i="267"/>
  <c r="B16" i="267"/>
  <c r="B17" i="267"/>
  <c r="C62" i="270"/>
  <c r="C52" i="270"/>
  <c r="C30" i="270"/>
  <c r="H18" i="177"/>
  <c r="G43" i="267" s="1"/>
  <c r="I66" i="268"/>
  <c r="J66" i="268" s="1"/>
  <c r="K185" i="323"/>
  <c r="K25" i="272"/>
  <c r="K196" i="323"/>
  <c r="K26" i="272"/>
  <c r="K207" i="323"/>
  <c r="K27" i="272"/>
  <c r="K218" i="323"/>
  <c r="K28" i="272"/>
  <c r="K229" i="323"/>
  <c r="K29" i="272"/>
  <c r="K240" i="323"/>
  <c r="K30" i="272"/>
  <c r="K251" i="323"/>
  <c r="K262" i="323"/>
  <c r="K273" i="323"/>
  <c r="K284" i="323"/>
  <c r="K34" i="272"/>
  <c r="K295" i="323"/>
  <c r="K306" i="323"/>
  <c r="K317" i="323"/>
  <c r="K37" i="272"/>
  <c r="K328" i="323"/>
  <c r="K38" i="272"/>
  <c r="H185" i="323"/>
  <c r="H25" i="272" s="1"/>
  <c r="H196" i="323"/>
  <c r="H207" i="323"/>
  <c r="H27" i="272" s="1"/>
  <c r="H218" i="323"/>
  <c r="H28" i="272" s="1"/>
  <c r="H229" i="323"/>
  <c r="H29" i="272" s="1"/>
  <c r="H240" i="323"/>
  <c r="H30" i="272" s="1"/>
  <c r="H251" i="323"/>
  <c r="H31" i="272" s="1"/>
  <c r="H262" i="323"/>
  <c r="H273" i="323"/>
  <c r="H284" i="323"/>
  <c r="H34" i="272"/>
  <c r="H295" i="323"/>
  <c r="H306" i="323"/>
  <c r="H36" i="272"/>
  <c r="H317" i="323"/>
  <c r="H328" i="323"/>
  <c r="H38" i="272"/>
  <c r="G185" i="323"/>
  <c r="G196" i="323"/>
  <c r="G26" i="272" s="1"/>
  <c r="G207" i="323"/>
  <c r="G218" i="323"/>
  <c r="G28" i="272" s="1"/>
  <c r="G229" i="323"/>
  <c r="G29" i="272" s="1"/>
  <c r="G240" i="323"/>
  <c r="G30" i="272" s="1"/>
  <c r="G251" i="323"/>
  <c r="G31" i="272" s="1"/>
  <c r="G262" i="323"/>
  <c r="G273" i="323"/>
  <c r="I273" i="323"/>
  <c r="G33" i="272"/>
  <c r="I33" i="272"/>
  <c r="J33" i="272"/>
  <c r="G284" i="323"/>
  <c r="G295" i="323"/>
  <c r="G306" i="323"/>
  <c r="G317" i="323"/>
  <c r="I317" i="323"/>
  <c r="J317" i="323"/>
  <c r="G328" i="323"/>
  <c r="F185" i="323"/>
  <c r="F25" i="272" s="1"/>
  <c r="F196" i="323"/>
  <c r="F207" i="323"/>
  <c r="F27" i="272" s="1"/>
  <c r="F218" i="323"/>
  <c r="F28" i="272" s="1"/>
  <c r="F229" i="323"/>
  <c r="F29" i="272" s="1"/>
  <c r="F240" i="323"/>
  <c r="F30" i="272" s="1"/>
  <c r="F251" i="323"/>
  <c r="F31" i="272" s="1"/>
  <c r="F262" i="323"/>
  <c r="F32" i="272"/>
  <c r="F273" i="323"/>
  <c r="F284" i="323"/>
  <c r="F34" i="272"/>
  <c r="F295" i="323"/>
  <c r="F35" i="272"/>
  <c r="F306" i="323"/>
  <c r="F36" i="272"/>
  <c r="F317" i="323"/>
  <c r="F37" i="272"/>
  <c r="F328" i="323"/>
  <c r="E185" i="323"/>
  <c r="E196" i="323"/>
  <c r="E26" i="272" s="1"/>
  <c r="E207" i="323"/>
  <c r="E27" i="272"/>
  <c r="E218" i="323"/>
  <c r="E28" i="272" s="1"/>
  <c r="E229" i="323"/>
  <c r="E29" i="272" s="1"/>
  <c r="E240" i="323"/>
  <c r="E251" i="323"/>
  <c r="E31" i="272" s="1"/>
  <c r="E262" i="323"/>
  <c r="E273" i="323"/>
  <c r="E33" i="272"/>
  <c r="E284" i="323"/>
  <c r="E34" i="272"/>
  <c r="E295" i="323"/>
  <c r="E35" i="272"/>
  <c r="E306" i="323"/>
  <c r="E36" i="272"/>
  <c r="E317" i="323"/>
  <c r="E37" i="272"/>
  <c r="E328" i="323"/>
  <c r="E38" i="272"/>
  <c r="D185" i="323"/>
  <c r="D196" i="323"/>
  <c r="D207" i="323"/>
  <c r="D27" i="272"/>
  <c r="D218" i="323"/>
  <c r="D28" i="272"/>
  <c r="D229" i="323"/>
  <c r="D29" i="272"/>
  <c r="D240" i="323"/>
  <c r="D251" i="323"/>
  <c r="D262" i="323"/>
  <c r="D32" i="272"/>
  <c r="D273" i="323"/>
  <c r="D33" i="272"/>
  <c r="D284" i="323"/>
  <c r="D34" i="272"/>
  <c r="D295" i="323"/>
  <c r="D35" i="272"/>
  <c r="D306" i="323"/>
  <c r="D317" i="323"/>
  <c r="D37" i="272"/>
  <c r="D328" i="323"/>
  <c r="D38" i="272"/>
  <c r="C185" i="323"/>
  <c r="C25" i="272"/>
  <c r="C196" i="323"/>
  <c r="C26" i="272"/>
  <c r="C207" i="323"/>
  <c r="C27" i="272"/>
  <c r="C218" i="323"/>
  <c r="C28" i="272"/>
  <c r="C229" i="323"/>
  <c r="C29" i="272"/>
  <c r="C240" i="323"/>
  <c r="C251" i="323"/>
  <c r="C262" i="323"/>
  <c r="C273" i="323"/>
  <c r="C33" i="272"/>
  <c r="C284" i="323"/>
  <c r="C34" i="272"/>
  <c r="C295" i="323"/>
  <c r="C306" i="323"/>
  <c r="C36" i="272"/>
  <c r="C317" i="323"/>
  <c r="C37" i="272"/>
  <c r="C328" i="323"/>
  <c r="D28" i="177"/>
  <c r="C44" i="267"/>
  <c r="D18" i="177"/>
  <c r="C43" i="267"/>
  <c r="K330" i="324"/>
  <c r="K38" i="268"/>
  <c r="K319" i="324"/>
  <c r="K37" i="268"/>
  <c r="K308" i="324"/>
  <c r="K36" i="268"/>
  <c r="K297" i="324"/>
  <c r="K35" i="268"/>
  <c r="K286" i="324"/>
  <c r="K34" i="268"/>
  <c r="K275" i="324"/>
  <c r="K33" i="268"/>
  <c r="K264" i="324"/>
  <c r="K32" i="268"/>
  <c r="K253" i="324"/>
  <c r="K31" i="268"/>
  <c r="K242" i="324"/>
  <c r="K30" i="268"/>
  <c r="K231" i="324"/>
  <c r="K29" i="268"/>
  <c r="K220" i="324"/>
  <c r="K28" i="268"/>
  <c r="K209" i="324"/>
  <c r="K27" i="268"/>
  <c r="K198" i="324"/>
  <c r="K26" i="268"/>
  <c r="K187" i="324"/>
  <c r="K25" i="268"/>
  <c r="K176" i="324"/>
  <c r="G330" i="324"/>
  <c r="G38" i="268"/>
  <c r="H330" i="324"/>
  <c r="H38" i="268"/>
  <c r="F330" i="324"/>
  <c r="F38" i="268"/>
  <c r="E330" i="324"/>
  <c r="E38" i="268"/>
  <c r="D330" i="324"/>
  <c r="G319" i="324"/>
  <c r="G37" i="268"/>
  <c r="H319" i="324"/>
  <c r="H37" i="268"/>
  <c r="F319" i="324"/>
  <c r="F37" i="268"/>
  <c r="E319" i="324"/>
  <c r="E37" i="268"/>
  <c r="D319" i="324"/>
  <c r="D37" i="268"/>
  <c r="G308" i="324"/>
  <c r="G36" i="268"/>
  <c r="H308" i="324"/>
  <c r="I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G31" i="268" s="1"/>
  <c r="H253" i="324"/>
  <c r="H31" i="268" s="1"/>
  <c r="F253" i="324"/>
  <c r="F31" i="268" s="1"/>
  <c r="E253" i="324"/>
  <c r="E31" i="268" s="1"/>
  <c r="D253" i="324"/>
  <c r="D341" i="324"/>
  <c r="D343" i="324"/>
  <c r="G242" i="324"/>
  <c r="G30" i="268" s="1"/>
  <c r="H242" i="324"/>
  <c r="H30" i="268" s="1"/>
  <c r="F242" i="324"/>
  <c r="F30" i="268" s="1"/>
  <c r="E242" i="324"/>
  <c r="E30" i="268" s="1"/>
  <c r="D242" i="324"/>
  <c r="D30" i="268"/>
  <c r="G231" i="324"/>
  <c r="G29" i="268"/>
  <c r="H231" i="324"/>
  <c r="I231" i="324"/>
  <c r="F231" i="324"/>
  <c r="F29" i="268"/>
  <c r="E231" i="324"/>
  <c r="E29" i="268"/>
  <c r="D231" i="324"/>
  <c r="D29" i="268"/>
  <c r="G220" i="324"/>
  <c r="G28" i="268"/>
  <c r="H220" i="324"/>
  <c r="H28" i="268"/>
  <c r="F220" i="324"/>
  <c r="F28" i="268"/>
  <c r="E220" i="324"/>
  <c r="E28" i="268"/>
  <c r="D220" i="324"/>
  <c r="D28" i="268"/>
  <c r="G209" i="324"/>
  <c r="G27" i="268"/>
  <c r="H209" i="324"/>
  <c r="F209" i="324"/>
  <c r="F27" i="268"/>
  <c r="E209" i="324"/>
  <c r="E27" i="268"/>
  <c r="D209" i="324"/>
  <c r="D27" i="268"/>
  <c r="G198" i="324"/>
  <c r="G26" i="268"/>
  <c r="H198" i="324"/>
  <c r="F198" i="324"/>
  <c r="F26" i="268"/>
  <c r="E198" i="324"/>
  <c r="E26" i="268" s="1"/>
  <c r="D198" i="324"/>
  <c r="D26" i="268"/>
  <c r="G187" i="324"/>
  <c r="H187" i="324"/>
  <c r="H25" i="268"/>
  <c r="F187" i="324"/>
  <c r="F25" i="268"/>
  <c r="E187" i="324"/>
  <c r="E25" i="268" s="1"/>
  <c r="D187" i="324"/>
  <c r="D25" i="268"/>
  <c r="G176" i="324"/>
  <c r="G24" i="268"/>
  <c r="H176" i="324"/>
  <c r="H24" i="268"/>
  <c r="F176" i="324"/>
  <c r="E176" i="324"/>
  <c r="E24" i="268" s="1"/>
  <c r="D176" i="324"/>
  <c r="D24" i="268"/>
  <c r="C319" i="324"/>
  <c r="C37" i="268"/>
  <c r="C308" i="324"/>
  <c r="C36" i="268"/>
  <c r="C297" i="324"/>
  <c r="C35" i="268"/>
  <c r="C286" i="324"/>
  <c r="C34" i="268"/>
  <c r="C275" i="324"/>
  <c r="C33" i="268"/>
  <c r="C176" i="324"/>
  <c r="C24" i="268"/>
  <c r="C330" i="324"/>
  <c r="C264" i="324"/>
  <c r="C32" i="268"/>
  <c r="C253" i="324"/>
  <c r="C31" i="268"/>
  <c r="C242" i="324"/>
  <c r="C30" i="268"/>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c r="K51" i="324"/>
  <c r="K40" i="324"/>
  <c r="K29" i="324"/>
  <c r="K8" i="268"/>
  <c r="K18" i="324"/>
  <c r="K7" i="268"/>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F139" i="324"/>
  <c r="F18" i="268"/>
  <c r="E139" i="324"/>
  <c r="E18" i="268"/>
  <c r="D139" i="324"/>
  <c r="D18" i="268"/>
  <c r="H128" i="324"/>
  <c r="G128" i="324"/>
  <c r="G17" i="268"/>
  <c r="F128" i="324"/>
  <c r="F17" i="268"/>
  <c r="E128" i="324"/>
  <c r="E17" i="268"/>
  <c r="D128" i="324"/>
  <c r="D17" i="268"/>
  <c r="H117" i="324"/>
  <c r="I117" i="324"/>
  <c r="G117" i="324"/>
  <c r="F117" i="324"/>
  <c r="F16" i="268"/>
  <c r="E117" i="324"/>
  <c r="E16" i="268"/>
  <c r="D117" i="324"/>
  <c r="D16" i="268"/>
  <c r="H106" i="324"/>
  <c r="H15" i="268"/>
  <c r="G106" i="324"/>
  <c r="G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E21" i="268"/>
  <c r="D73" i="324"/>
  <c r="D12" i="268"/>
  <c r="H62" i="324"/>
  <c r="H11" i="268"/>
  <c r="G62" i="324"/>
  <c r="G11" i="268"/>
  <c r="I11" i="268"/>
  <c r="F62" i="324"/>
  <c r="F11" i="268"/>
  <c r="F21" i="268"/>
  <c r="E62" i="324"/>
  <c r="E11" i="268"/>
  <c r="D62" i="324"/>
  <c r="D11" i="268"/>
  <c r="H51" i="324"/>
  <c r="H10" i="268"/>
  <c r="G51" i="324"/>
  <c r="G10" i="268"/>
  <c r="F51" i="324"/>
  <c r="F10" i="268"/>
  <c r="E51" i="324"/>
  <c r="E10" i="268"/>
  <c r="D51" i="324"/>
  <c r="D10" i="268"/>
  <c r="H40" i="324"/>
  <c r="H9" i="268"/>
  <c r="G40" i="324"/>
  <c r="F40" i="324"/>
  <c r="F9" i="268"/>
  <c r="E40" i="324"/>
  <c r="E9" i="268"/>
  <c r="D40" i="324"/>
  <c r="D9" i="268"/>
  <c r="H29" i="324"/>
  <c r="G29" i="324"/>
  <c r="G8" i="268"/>
  <c r="F29" i="324"/>
  <c r="F8" i="268"/>
  <c r="E29" i="324"/>
  <c r="E8" i="268"/>
  <c r="D29" i="324"/>
  <c r="H18" i="324"/>
  <c r="H7" i="268"/>
  <c r="G18" i="324"/>
  <c r="F18" i="324"/>
  <c r="E18" i="324"/>
  <c r="E7" i="268"/>
  <c r="D18" i="324"/>
  <c r="D7" i="268"/>
  <c r="H7" i="324"/>
  <c r="H6" i="268"/>
  <c r="G7" i="324"/>
  <c r="F7" i="324"/>
  <c r="F6" i="268"/>
  <c r="E7" i="324"/>
  <c r="E6" i="268"/>
  <c r="D7" i="324"/>
  <c r="D6" i="268"/>
  <c r="C161" i="324"/>
  <c r="C20" i="268"/>
  <c r="C150" i="324"/>
  <c r="C19" i="268"/>
  <c r="C139" i="324"/>
  <c r="C18" i="268"/>
  <c r="C128" i="324"/>
  <c r="C17" i="268"/>
  <c r="C117" i="324"/>
  <c r="C16" i="268"/>
  <c r="C106" i="324"/>
  <c r="C15" i="268"/>
  <c r="C95" i="324"/>
  <c r="C14" i="268"/>
  <c r="C84" i="324"/>
  <c r="C13" i="268"/>
  <c r="C73" i="324"/>
  <c r="C12" i="268"/>
  <c r="C62" i="324"/>
  <c r="C11" i="268"/>
  <c r="C51" i="324"/>
  <c r="C10" i="268"/>
  <c r="C40" i="324"/>
  <c r="C9" i="268"/>
  <c r="C29" i="324"/>
  <c r="C8" i="268"/>
  <c r="C18" i="324"/>
  <c r="C7" i="268"/>
  <c r="C7" i="324"/>
  <c r="C6" i="268"/>
  <c r="C21" i="268"/>
  <c r="D70" i="268"/>
  <c r="C29" i="267"/>
  <c r="E70" i="268"/>
  <c r="E74" i="268"/>
  <c r="F70" i="268"/>
  <c r="E29" i="267" s="1"/>
  <c r="G70" i="268"/>
  <c r="F29" i="267" s="1"/>
  <c r="H70" i="268"/>
  <c r="C70" i="268"/>
  <c r="C74" i="268"/>
  <c r="C86" i="268" s="1"/>
  <c r="A75" i="100"/>
  <c r="C18" i="177"/>
  <c r="B43" i="267" s="1"/>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K13" i="242"/>
  <c r="K27" i="242"/>
  <c r="K69" i="242"/>
  <c r="K7" i="242"/>
  <c r="K166" i="242"/>
  <c r="K135" i="242"/>
  <c r="K148" i="242"/>
  <c r="C13" i="242"/>
  <c r="C27" i="242"/>
  <c r="C69" i="242"/>
  <c r="C135" i="242"/>
  <c r="C148" i="242"/>
  <c r="K36" i="272"/>
  <c r="K35" i="272"/>
  <c r="K33" i="272"/>
  <c r="J38" i="272"/>
  <c r="G38" i="272"/>
  <c r="I38" i="272"/>
  <c r="F38" i="272"/>
  <c r="H37" i="272"/>
  <c r="G37" i="272"/>
  <c r="I37" i="272"/>
  <c r="J37" i="272"/>
  <c r="G36" i="272"/>
  <c r="D36"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I116" i="323"/>
  <c r="J116" i="323"/>
  <c r="G16" i="272"/>
  <c r="H116" i="323"/>
  <c r="H16" i="272"/>
  <c r="G127" i="323"/>
  <c r="G17" i="272"/>
  <c r="H127" i="323"/>
  <c r="H17" i="272"/>
  <c r="G138" i="323"/>
  <c r="I138" i="323"/>
  <c r="G18" i="272"/>
  <c r="H138" i="323"/>
  <c r="H18" i="272"/>
  <c r="G149" i="323"/>
  <c r="G19" i="272"/>
  <c r="H149" i="323"/>
  <c r="H19" i="272"/>
  <c r="G160" i="323"/>
  <c r="I160" i="323"/>
  <c r="G20" i="272"/>
  <c r="I20" i="272"/>
  <c r="J20" i="272"/>
  <c r="H160" i="323"/>
  <c r="H20" i="272"/>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B5" i="100"/>
  <c r="F77" i="100"/>
  <c r="B27" i="322"/>
  <c r="B73" i="100"/>
  <c r="A1" i="328"/>
  <c r="C7" i="330"/>
  <c r="C24" i="330"/>
  <c r="C9" i="241"/>
  <c r="C87" i="330"/>
  <c r="C18" i="241"/>
  <c r="C92" i="330"/>
  <c r="C19" i="241"/>
  <c r="C100" i="330"/>
  <c r="C104" i="330"/>
  <c r="C22" i="241"/>
  <c r="C108" i="330"/>
  <c r="C23" i="241"/>
  <c r="K7" i="330"/>
  <c r="K24" i="330"/>
  <c r="K9" i="241"/>
  <c r="K87" i="330"/>
  <c r="K18" i="241"/>
  <c r="K92" i="330"/>
  <c r="K19" i="241"/>
  <c r="K100" i="330"/>
  <c r="K21" i="241"/>
  <c r="K20" i="241"/>
  <c r="K104" i="330"/>
  <c r="K22" i="241"/>
  <c r="K108" i="330"/>
  <c r="K23" i="241"/>
  <c r="K118" i="330"/>
  <c r="K25" i="241"/>
  <c r="K129" i="330"/>
  <c r="K177" i="330"/>
  <c r="K36" i="241"/>
  <c r="K189" i="330"/>
  <c r="K38" i="241"/>
  <c r="K198" i="330"/>
  <c r="K40" i="241"/>
  <c r="K209" i="330"/>
  <c r="K41" i="241"/>
  <c r="K214" i="330"/>
  <c r="K42" i="241"/>
  <c r="K222" i="330"/>
  <c r="K44" i="241"/>
  <c r="K226" i="330"/>
  <c r="K45" i="241"/>
  <c r="K230" i="330"/>
  <c r="K46" i="241"/>
  <c r="K240" i="330"/>
  <c r="K48" i="241"/>
  <c r="H7" i="330"/>
  <c r="H7" i="241"/>
  <c r="H24" i="330"/>
  <c r="H9" i="241"/>
  <c r="H92" i="330"/>
  <c r="H19" i="241"/>
  <c r="H104" i="330"/>
  <c r="H22" i="241"/>
  <c r="H108" i="330"/>
  <c r="H23" i="241"/>
  <c r="H118" i="330"/>
  <c r="H25" i="241"/>
  <c r="H129" i="330"/>
  <c r="H177" i="330"/>
  <c r="H36" i="241" s="1"/>
  <c r="H189" i="330"/>
  <c r="H38" i="241" s="1"/>
  <c r="H198" i="330"/>
  <c r="H40" i="241" s="1"/>
  <c r="H209" i="330"/>
  <c r="H41" i="241" s="1"/>
  <c r="H214" i="330"/>
  <c r="H42" i="241"/>
  <c r="H222" i="330"/>
  <c r="H226" i="330"/>
  <c r="H45" i="241"/>
  <c r="H230" i="330"/>
  <c r="H46" i="241" s="1"/>
  <c r="H240" i="330"/>
  <c r="H48" i="241"/>
  <c r="G7" i="330"/>
  <c r="G7" i="241"/>
  <c r="G24" i="330"/>
  <c r="G87" i="330"/>
  <c r="G18" i="241" s="1"/>
  <c r="G92" i="330"/>
  <c r="G100" i="330"/>
  <c r="G21" i="241" s="1"/>
  <c r="G104" i="330"/>
  <c r="G22" i="241"/>
  <c r="I22" i="241"/>
  <c r="J22" i="241"/>
  <c r="G108" i="330"/>
  <c r="G23" i="241"/>
  <c r="G118" i="330"/>
  <c r="G25" i="241"/>
  <c r="I25" i="241"/>
  <c r="J25" i="241"/>
  <c r="G129" i="330"/>
  <c r="G30" i="241" s="1"/>
  <c r="G177" i="330"/>
  <c r="G36" i="241" s="1"/>
  <c r="G189" i="330"/>
  <c r="G38" i="241" s="1"/>
  <c r="G198" i="330"/>
  <c r="G209" i="330"/>
  <c r="G41" i="241" s="1"/>
  <c r="G214" i="330"/>
  <c r="G42" i="241"/>
  <c r="G222" i="330"/>
  <c r="G226" i="330"/>
  <c r="G230" i="330"/>
  <c r="G46" i="241" s="1"/>
  <c r="G240" i="330"/>
  <c r="F7" i="330"/>
  <c r="F7" i="241"/>
  <c r="F24" i="330"/>
  <c r="F87" i="330"/>
  <c r="F18" i="241" s="1"/>
  <c r="F92" i="330"/>
  <c r="F19" i="241"/>
  <c r="F100" i="330"/>
  <c r="F21" i="241" s="1"/>
  <c r="F104" i="330"/>
  <c r="F108" i="330"/>
  <c r="F23" i="241"/>
  <c r="F118" i="330"/>
  <c r="F25" i="241"/>
  <c r="F129" i="330"/>
  <c r="F30" i="241" s="1"/>
  <c r="F177" i="330"/>
  <c r="F36" i="241" s="1"/>
  <c r="F189" i="330"/>
  <c r="F38" i="241"/>
  <c r="F198" i="330"/>
  <c r="F209" i="330"/>
  <c r="F41" i="241" s="1"/>
  <c r="F214" i="330"/>
  <c r="F42" i="241"/>
  <c r="F222" i="330"/>
  <c r="F44" i="241" s="1"/>
  <c r="F226" i="330"/>
  <c r="F45" i="241"/>
  <c r="F230" i="330"/>
  <c r="F46" i="241" s="1"/>
  <c r="F240" i="330"/>
  <c r="F48" i="241"/>
  <c r="E7" i="330"/>
  <c r="E7" i="241"/>
  <c r="E24" i="330"/>
  <c r="E9" i="241"/>
  <c r="E87" i="330"/>
  <c r="E18" i="241"/>
  <c r="E92" i="330"/>
  <c r="E19" i="241"/>
  <c r="E100" i="330"/>
  <c r="E99" i="330" s="1"/>
  <c r="E21" i="241"/>
  <c r="E20" i="241" s="1"/>
  <c r="E104" i="330"/>
  <c r="E108" i="330"/>
  <c r="E23" i="241"/>
  <c r="E118" i="330"/>
  <c r="E25" i="241"/>
  <c r="E129" i="330"/>
  <c r="E30" i="241"/>
  <c r="E177" i="330"/>
  <c r="E36" i="241" s="1"/>
  <c r="E189" i="330"/>
  <c r="E38" i="241" s="1"/>
  <c r="E198" i="330"/>
  <c r="E40" i="241" s="1"/>
  <c r="E209" i="330"/>
  <c r="E41" i="241"/>
  <c r="E214" i="330"/>
  <c r="E42" i="241"/>
  <c r="E222" i="330"/>
  <c r="E44" i="241"/>
  <c r="E226" i="330"/>
  <c r="E45" i="241"/>
  <c r="E230" i="330"/>
  <c r="E46" i="241"/>
  <c r="E240" i="330"/>
  <c r="E48" i="241"/>
  <c r="D7" i="330"/>
  <c r="D7" i="241"/>
  <c r="D24" i="330"/>
  <c r="D9" i="241"/>
  <c r="D15" i="241"/>
  <c r="D87" i="330"/>
  <c r="D18" i="241"/>
  <c r="D92" i="330"/>
  <c r="D19" i="241"/>
  <c r="D100" i="330"/>
  <c r="D104" i="330"/>
  <c r="D22" i="241"/>
  <c r="D108" i="330"/>
  <c r="D23" i="241"/>
  <c r="D118" i="330"/>
  <c r="D25" i="241"/>
  <c r="D129" i="330"/>
  <c r="D32" i="241"/>
  <c r="D177" i="330"/>
  <c r="D189" i="330"/>
  <c r="D38" i="241"/>
  <c r="D198" i="330"/>
  <c r="D40" i="241"/>
  <c r="D209" i="330"/>
  <c r="D41" i="241"/>
  <c r="D214" i="330"/>
  <c r="D42" i="241"/>
  <c r="D222" i="330"/>
  <c r="D44" i="241"/>
  <c r="D226" i="330"/>
  <c r="D45" i="241"/>
  <c r="D230" i="330"/>
  <c r="D46" i="241"/>
  <c r="D240" i="330"/>
  <c r="D48" i="241"/>
  <c r="C240" i="330"/>
  <c r="C48" i="241"/>
  <c r="C230" i="330"/>
  <c r="C46" i="241"/>
  <c r="C226" i="330"/>
  <c r="C45" i="241"/>
  <c r="C222" i="330"/>
  <c r="C44" i="241"/>
  <c r="C43" i="241"/>
  <c r="C214" i="330"/>
  <c r="C42" i="241"/>
  <c r="C209" i="330"/>
  <c r="C41" i="241"/>
  <c r="C198" i="330"/>
  <c r="C40" i="241"/>
  <c r="C39" i="241"/>
  <c r="C189" i="330"/>
  <c r="C38" i="241"/>
  <c r="C177" i="330"/>
  <c r="C36" i="241"/>
  <c r="C129" i="330"/>
  <c r="C30" i="241"/>
  <c r="I246" i="330"/>
  <c r="J246" i="330"/>
  <c r="I245" i="330"/>
  <c r="J245" i="330"/>
  <c r="I244" i="330"/>
  <c r="J244" i="330"/>
  <c r="I242" i="330"/>
  <c r="J242" i="330"/>
  <c r="I241" i="330"/>
  <c r="J241" i="330"/>
  <c r="I239" i="330"/>
  <c r="J239" i="330" s="1"/>
  <c r="I234" i="330"/>
  <c r="J234" i="330" s="1"/>
  <c r="I232" i="330"/>
  <c r="J232" i="330" s="1"/>
  <c r="I231" i="330"/>
  <c r="J231" i="330" s="1"/>
  <c r="I227" i="330"/>
  <c r="J227" i="330"/>
  <c r="I225" i="330"/>
  <c r="J225" i="330"/>
  <c r="I223" i="330"/>
  <c r="J223" i="330" s="1"/>
  <c r="I220" i="330"/>
  <c r="J220" i="330"/>
  <c r="I216" i="330"/>
  <c r="J216" i="330"/>
  <c r="I215" i="330"/>
  <c r="J215" i="330"/>
  <c r="I213" i="330"/>
  <c r="J213" i="330"/>
  <c r="I212" i="330"/>
  <c r="J212" i="330" s="1"/>
  <c r="I210" i="330"/>
  <c r="J210" i="330"/>
  <c r="I199" i="330"/>
  <c r="J199" i="330"/>
  <c r="I196" i="330"/>
  <c r="J196" i="330"/>
  <c r="I195" i="330"/>
  <c r="J195" i="330"/>
  <c r="I190" i="330"/>
  <c r="J190" i="330"/>
  <c r="I185" i="330"/>
  <c r="J185" i="330"/>
  <c r="I182" i="330"/>
  <c r="J182" i="330"/>
  <c r="I181" i="330"/>
  <c r="J181" i="330"/>
  <c r="I179" i="330"/>
  <c r="J179" i="330"/>
  <c r="I178" i="330"/>
  <c r="J178" i="330" s="1"/>
  <c r="I131" i="330"/>
  <c r="J131" i="330" s="1"/>
  <c r="I130" i="330"/>
  <c r="J130" i="330" s="1"/>
  <c r="I124" i="330"/>
  <c r="J124" i="330"/>
  <c r="I123" i="330"/>
  <c r="J123" i="330"/>
  <c r="I122" i="330"/>
  <c r="J122" i="330"/>
  <c r="I120" i="330"/>
  <c r="J120" i="330"/>
  <c r="I119" i="330"/>
  <c r="J119" i="330"/>
  <c r="I116" i="330"/>
  <c r="J116" i="330" s="1"/>
  <c r="I112" i="330"/>
  <c r="J112" i="330"/>
  <c r="I110" i="330"/>
  <c r="J110" i="330"/>
  <c r="I109" i="330"/>
  <c r="J109" i="330"/>
  <c r="I107" i="330"/>
  <c r="J107" i="330"/>
  <c r="I105" i="330"/>
  <c r="J105" i="330"/>
  <c r="I103" i="330"/>
  <c r="J103" i="330"/>
  <c r="I101" i="330"/>
  <c r="J101" i="330" s="1"/>
  <c r="I98" i="330"/>
  <c r="J98" i="330"/>
  <c r="I97" i="330"/>
  <c r="J97" i="330"/>
  <c r="I93" i="330"/>
  <c r="J93" i="330"/>
  <c r="I91" i="330"/>
  <c r="J91" i="330"/>
  <c r="I90" i="330"/>
  <c r="J90" i="330" s="1"/>
  <c r="I89" i="330"/>
  <c r="J89" i="330"/>
  <c r="I88" i="330"/>
  <c r="J88" i="330"/>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c r="I43" i="330"/>
  <c r="J43" i="330"/>
  <c r="I42" i="330"/>
  <c r="J42" i="330"/>
  <c r="I41" i="330"/>
  <c r="J41" i="330" s="1"/>
  <c r="I25" i="330"/>
  <c r="J25" i="330"/>
  <c r="I9" i="330"/>
  <c r="J9"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s="1"/>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B14" i="100"/>
  <c r="Q3" i="317"/>
  <c r="J7" i="322"/>
  <c r="K7" i="322"/>
  <c r="L7" i="322"/>
  <c r="M7" i="322"/>
  <c r="N7" i="322"/>
  <c r="O7" i="322"/>
  <c r="E7" i="322"/>
  <c r="E6" i="322"/>
  <c r="E4" i="322"/>
  <c r="E3" i="322"/>
  <c r="K37" i="177"/>
  <c r="J45" i="267"/>
  <c r="H37" i="177"/>
  <c r="G37" i="177"/>
  <c r="F45" i="267" s="1"/>
  <c r="F37" i="177"/>
  <c r="E45" i="267"/>
  <c r="E37" i="177"/>
  <c r="D45" i="267"/>
  <c r="D37" i="177"/>
  <c r="C45" i="267"/>
  <c r="C37" i="177"/>
  <c r="B45" i="267" s="1"/>
  <c r="K28" i="177"/>
  <c r="H28" i="177"/>
  <c r="G44" i="267" s="1"/>
  <c r="G28" i="177"/>
  <c r="F44" i="267" s="1"/>
  <c r="F28" i="177"/>
  <c r="E44" i="267" s="1"/>
  <c r="E28" i="177"/>
  <c r="D44" i="267" s="1"/>
  <c r="C28" i="177"/>
  <c r="B44" i="267"/>
  <c r="K18" i="177"/>
  <c r="K39" i="177"/>
  <c r="G18" i="177"/>
  <c r="F43" i="267" s="1"/>
  <c r="F18" i="177"/>
  <c r="E18" i="177"/>
  <c r="D43" i="267"/>
  <c r="E77" i="100"/>
  <c r="E46" i="267"/>
  <c r="G48" i="178"/>
  <c r="J40" i="267"/>
  <c r="G40" i="178"/>
  <c r="J39" i="267"/>
  <c r="G35" i="178"/>
  <c r="G13" i="178"/>
  <c r="E48" i="178"/>
  <c r="D40" i="267" s="1"/>
  <c r="D48" i="178"/>
  <c r="E40" i="178"/>
  <c r="D39" i="267"/>
  <c r="D40" i="178"/>
  <c r="C39" i="267"/>
  <c r="E35" i="178"/>
  <c r="D38" i="267"/>
  <c r="D35" i="178"/>
  <c r="E13" i="178"/>
  <c r="F52" i="174" s="1"/>
  <c r="F13" i="174" s="1"/>
  <c r="D13" i="178"/>
  <c r="E52" i="174"/>
  <c r="C48" i="178"/>
  <c r="B40" i="267"/>
  <c r="C40" i="178"/>
  <c r="C35" i="178"/>
  <c r="D53" i="174"/>
  <c r="B38" i="267"/>
  <c r="C13" i="178"/>
  <c r="B36" i="267"/>
  <c r="D52" i="174"/>
  <c r="J32" i="267"/>
  <c r="J31" i="267"/>
  <c r="G32" i="267"/>
  <c r="F32" i="267"/>
  <c r="E32" i="267"/>
  <c r="D32" i="267"/>
  <c r="C32" i="267"/>
  <c r="G31" i="267"/>
  <c r="F31" i="267"/>
  <c r="E31" i="267"/>
  <c r="D31" i="267"/>
  <c r="D33" i="267" s="1"/>
  <c r="C31" i="267"/>
  <c r="B32" i="267"/>
  <c r="B31" i="267"/>
  <c r="J24" i="267"/>
  <c r="G24" i="267"/>
  <c r="F24" i="267"/>
  <c r="H24" i="267"/>
  <c r="I24" i="267"/>
  <c r="E24" i="267"/>
  <c r="D24" i="267"/>
  <c r="C24" i="267"/>
  <c r="B24" i="267"/>
  <c r="K36" i="182"/>
  <c r="J18" i="267"/>
  <c r="J6" i="267"/>
  <c r="J9" i="267"/>
  <c r="J21" i="267"/>
  <c r="J22" i="267"/>
  <c r="G22" i="267"/>
  <c r="F22" i="267"/>
  <c r="H22" i="267"/>
  <c r="I22" i="267"/>
  <c r="E22" i="267"/>
  <c r="D22" i="267"/>
  <c r="C22" i="267"/>
  <c r="G21" i="267"/>
  <c r="F21" i="267"/>
  <c r="E21" i="267"/>
  <c r="D21" i="267"/>
  <c r="C21" i="267"/>
  <c r="B22" i="267"/>
  <c r="B21" i="267"/>
  <c r="G36" i="182"/>
  <c r="I36" i="182" s="1"/>
  <c r="J36" i="182" s="1"/>
  <c r="F36" i="182"/>
  <c r="E36" i="182"/>
  <c r="F45" i="174" s="1"/>
  <c r="D36" i="182"/>
  <c r="E45" i="174"/>
  <c r="C36" i="182"/>
  <c r="C38" i="182"/>
  <c r="C42" i="182"/>
  <c r="C44" i="182"/>
  <c r="C46" i="182"/>
  <c r="C48" i="182"/>
  <c r="F6" i="267"/>
  <c r="G6" i="267"/>
  <c r="F9" i="267"/>
  <c r="G9" i="267"/>
  <c r="I6" i="182"/>
  <c r="J6" i="182" s="1"/>
  <c r="I7" i="182"/>
  <c r="J7" i="182" s="1"/>
  <c r="I8" i="182"/>
  <c r="J8" i="182"/>
  <c r="I9" i="182"/>
  <c r="J9" i="182"/>
  <c r="I10" i="182"/>
  <c r="J10" i="182" s="1"/>
  <c r="I13" i="182"/>
  <c r="J13" i="182" s="1"/>
  <c r="I14" i="182"/>
  <c r="J14" i="182" s="1"/>
  <c r="I19" i="182"/>
  <c r="J19" i="182" s="1"/>
  <c r="E6" i="267"/>
  <c r="E9" i="267"/>
  <c r="D6" i="267"/>
  <c r="D9" i="267"/>
  <c r="C6" i="267"/>
  <c r="C9" i="267"/>
  <c r="B6" i="267"/>
  <c r="F3" i="267"/>
  <c r="I48" i="267"/>
  <c r="H48" i="267"/>
  <c r="G48" i="267"/>
  <c r="F48" i="267"/>
  <c r="E48" i="267"/>
  <c r="D48" i="267"/>
  <c r="C48" i="267"/>
  <c r="B48" i="267"/>
  <c r="J3" i="267"/>
  <c r="I3" i="267"/>
  <c r="H3" i="267"/>
  <c r="G3" i="267"/>
  <c r="E3" i="267"/>
  <c r="D3" i="267"/>
  <c r="C3" i="267"/>
  <c r="B3" i="267"/>
  <c r="A2" i="267"/>
  <c r="A49" i="267"/>
  <c r="A50" i="267"/>
  <c r="A51" i="267"/>
  <c r="C15" i="173"/>
  <c r="B52" i="267"/>
  <c r="D15" i="173"/>
  <c r="C52" i="267" s="1"/>
  <c r="E15" i="173"/>
  <c r="D52" i="267"/>
  <c r="F15" i="173"/>
  <c r="E52" i="267" s="1"/>
  <c r="G15" i="173"/>
  <c r="F52" i="267"/>
  <c r="H15" i="173"/>
  <c r="G52" i="267" s="1"/>
  <c r="I15" i="173"/>
  <c r="H52" i="267"/>
  <c r="J15" i="173"/>
  <c r="I52" i="267"/>
  <c r="K6" i="173"/>
  <c r="K7" i="173"/>
  <c r="K8" i="173"/>
  <c r="K9" i="173"/>
  <c r="K10" i="173"/>
  <c r="F104" i="172"/>
  <c r="K11" i="173"/>
  <c r="G104" i="172"/>
  <c r="K12" i="173"/>
  <c r="K15" i="173" s="1"/>
  <c r="J52" i="267" s="1"/>
  <c r="K13" i="173"/>
  <c r="I104" i="172"/>
  <c r="K14" i="173"/>
  <c r="C14" i="175"/>
  <c r="B53" i="172" s="1"/>
  <c r="D14" i="175"/>
  <c r="C50" i="267" s="1"/>
  <c r="E14" i="175"/>
  <c r="D50" i="267" s="1"/>
  <c r="F14" i="175"/>
  <c r="E50" i="267" s="1"/>
  <c r="G14" i="175"/>
  <c r="F50" i="267" s="1"/>
  <c r="H14" i="175"/>
  <c r="G50" i="267"/>
  <c r="I14" i="175"/>
  <c r="J14" i="175"/>
  <c r="K40" i="177"/>
  <c r="K41" i="177"/>
  <c r="J46" i="267"/>
  <c r="B29" i="267"/>
  <c r="B33" i="267" s="1"/>
  <c r="D29" i="267"/>
  <c r="C6" i="323"/>
  <c r="C17" i="323"/>
  <c r="C7" i="272"/>
  <c r="C28" i="323"/>
  <c r="C8" i="272"/>
  <c r="C39" i="323"/>
  <c r="C9" i="272"/>
  <c r="C50" i="323"/>
  <c r="C10" i="272"/>
  <c r="C61" i="323"/>
  <c r="C11" i="272"/>
  <c r="C72" i="323"/>
  <c r="C12" i="272"/>
  <c r="C83" i="323"/>
  <c r="C13" i="272"/>
  <c r="C94" i="323"/>
  <c r="C14" i="272"/>
  <c r="C105" i="323"/>
  <c r="C15" i="272"/>
  <c r="H6" i="323"/>
  <c r="H6" i="272"/>
  <c r="H17" i="323"/>
  <c r="H7" i="272" s="1"/>
  <c r="H28" i="323"/>
  <c r="H8" i="272" s="1"/>
  <c r="H39" i="323"/>
  <c r="I39" i="323" s="1"/>
  <c r="J39" i="323" s="1"/>
  <c r="H50" i="323"/>
  <c r="H10" i="272" s="1"/>
  <c r="H61" i="323"/>
  <c r="H11" i="272" s="1"/>
  <c r="H72" i="323"/>
  <c r="H12" i="272" s="1"/>
  <c r="H83" i="323"/>
  <c r="H13" i="272" s="1"/>
  <c r="H94" i="323"/>
  <c r="G6" i="323"/>
  <c r="G17" i="323"/>
  <c r="G7" i="272" s="1"/>
  <c r="G28" i="323"/>
  <c r="G8" i="272" s="1"/>
  <c r="G39" i="323"/>
  <c r="G9" i="272"/>
  <c r="G50" i="323"/>
  <c r="G10" i="272" s="1"/>
  <c r="G61" i="323"/>
  <c r="G11" i="272" s="1"/>
  <c r="G72" i="323"/>
  <c r="G12" i="272" s="1"/>
  <c r="G83" i="323"/>
  <c r="G94" i="323"/>
  <c r="D6" i="323"/>
  <c r="D17" i="323"/>
  <c r="D28" i="323"/>
  <c r="D39" i="323"/>
  <c r="D9" i="272"/>
  <c r="D50" i="323"/>
  <c r="D10" i="272"/>
  <c r="D61" i="323"/>
  <c r="D11" i="272"/>
  <c r="D72" i="323"/>
  <c r="D83" i="323"/>
  <c r="D13" i="272"/>
  <c r="D94" i="323"/>
  <c r="D14" i="272"/>
  <c r="E6" i="323"/>
  <c r="E6" i="272"/>
  <c r="E17" i="323"/>
  <c r="E28" i="323"/>
  <c r="E8" i="272"/>
  <c r="E39" i="323"/>
  <c r="E9" i="272" s="1"/>
  <c r="E50" i="323"/>
  <c r="E10" i="272"/>
  <c r="E61" i="323"/>
  <c r="E11" i="272"/>
  <c r="E72" i="323"/>
  <c r="E171" i="323" s="1"/>
  <c r="E83" i="323"/>
  <c r="E13" i="272"/>
  <c r="E94" i="323"/>
  <c r="E14" i="272"/>
  <c r="F6" i="323"/>
  <c r="F17" i="323"/>
  <c r="F7" i="272" s="1"/>
  <c r="F28" i="323"/>
  <c r="F8" i="272" s="1"/>
  <c r="F39" i="323"/>
  <c r="F9" i="272"/>
  <c r="F50" i="323"/>
  <c r="F10" i="272" s="1"/>
  <c r="F61" i="323"/>
  <c r="F11" i="272" s="1"/>
  <c r="F72" i="323"/>
  <c r="F12" i="272" s="1"/>
  <c r="F83" i="323"/>
  <c r="F13" i="272" s="1"/>
  <c r="F94" i="323"/>
  <c r="F14" i="272"/>
  <c r="K6" i="323"/>
  <c r="K6" i="272"/>
  <c r="K17" i="323"/>
  <c r="K7" i="272"/>
  <c r="K28" i="323"/>
  <c r="K8" i="272"/>
  <c r="K39" i="323"/>
  <c r="K50" i="323"/>
  <c r="K10" i="272"/>
  <c r="K61" i="323"/>
  <c r="K11" i="272"/>
  <c r="K72" i="323"/>
  <c r="K12" i="272"/>
  <c r="K83" i="323"/>
  <c r="K13" i="272"/>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8" i="323"/>
  <c r="J328"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6" i="323"/>
  <c r="J306"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J273" i="323"/>
  <c r="I272" i="323"/>
  <c r="J272" i="323"/>
  <c r="I271" i="323"/>
  <c r="J271" i="323"/>
  <c r="I270" i="323"/>
  <c r="J270" i="323"/>
  <c r="I269" i="323"/>
  <c r="J269" i="323"/>
  <c r="I268" i="323"/>
  <c r="J268" i="323"/>
  <c r="I267" i="323"/>
  <c r="J267" i="323"/>
  <c r="I266" i="323"/>
  <c r="J266" i="323"/>
  <c r="I265" i="323"/>
  <c r="J265" i="323"/>
  <c r="I264" i="323"/>
  <c r="J264" i="323"/>
  <c r="I263" i="323"/>
  <c r="J263" i="323"/>
  <c r="I262" i="323"/>
  <c r="J262" i="323"/>
  <c r="I261" i="323"/>
  <c r="J261" i="323"/>
  <c r="I260" i="323"/>
  <c r="J260" i="323"/>
  <c r="I259" i="323"/>
  <c r="J259" i="323"/>
  <c r="I258" i="323"/>
  <c r="J258" i="323" s="1"/>
  <c r="I257" i="323"/>
  <c r="J257" i="323" s="1"/>
  <c r="I256" i="323"/>
  <c r="J256" i="323" s="1"/>
  <c r="I255" i="323"/>
  <c r="J255" i="323"/>
  <c r="I254" i="323"/>
  <c r="J254" i="323" s="1"/>
  <c r="I253" i="323"/>
  <c r="J253" i="323" s="1"/>
  <c r="I252" i="323"/>
  <c r="J252" i="323" s="1"/>
  <c r="I250" i="323"/>
  <c r="J250" i="323"/>
  <c r="I249" i="323"/>
  <c r="J249" i="323"/>
  <c r="I248" i="323"/>
  <c r="J248" i="323"/>
  <c r="I247" i="323"/>
  <c r="J247" i="323"/>
  <c r="I246" i="323"/>
  <c r="J246" i="323"/>
  <c r="I245" i="323"/>
  <c r="J245" i="323"/>
  <c r="I244" i="323"/>
  <c r="J244" i="323"/>
  <c r="I243" i="323"/>
  <c r="J243" i="323" s="1"/>
  <c r="I242" i="323"/>
  <c r="J242" i="323" s="1"/>
  <c r="I241" i="323"/>
  <c r="J241" i="323" s="1"/>
  <c r="I239" i="323"/>
  <c r="J239" i="323"/>
  <c r="I238" i="323"/>
  <c r="J238" i="323"/>
  <c r="I237" i="323"/>
  <c r="J237" i="323"/>
  <c r="I236" i="323"/>
  <c r="J236" i="323"/>
  <c r="I235" i="323"/>
  <c r="J235" i="323"/>
  <c r="I234" i="323"/>
  <c r="J234" i="323"/>
  <c r="I233" i="323"/>
  <c r="J233" i="323"/>
  <c r="I232" i="323"/>
  <c r="J232" i="323" s="1"/>
  <c r="I231" i="323"/>
  <c r="J231" i="323" s="1"/>
  <c r="I230" i="323"/>
  <c r="J230" i="323" s="1"/>
  <c r="I228" i="323"/>
  <c r="J228" i="323"/>
  <c r="I227" i="323"/>
  <c r="J227" i="323"/>
  <c r="I226" i="323"/>
  <c r="J226" i="323" s="1"/>
  <c r="I225" i="323"/>
  <c r="J225" i="323" s="1"/>
  <c r="I224" i="323"/>
  <c r="J224" i="323" s="1"/>
  <c r="I223" i="323"/>
  <c r="J223" i="323" s="1"/>
  <c r="I222" i="323"/>
  <c r="J222" i="323" s="1"/>
  <c r="I221" i="323"/>
  <c r="J221" i="323" s="1"/>
  <c r="I220" i="323"/>
  <c r="J220" i="323" s="1"/>
  <c r="I219" i="323"/>
  <c r="J219" i="323" s="1"/>
  <c r="I217" i="323"/>
  <c r="J217" i="323"/>
  <c r="I216" i="323"/>
  <c r="J216" i="323"/>
  <c r="I215" i="323"/>
  <c r="J215" i="323"/>
  <c r="I214" i="323"/>
  <c r="J214" i="323" s="1"/>
  <c r="I213" i="323"/>
  <c r="J213" i="323" s="1"/>
  <c r="I212" i="323"/>
  <c r="J212" i="323" s="1"/>
  <c r="I211" i="323"/>
  <c r="J211" i="323" s="1"/>
  <c r="I210" i="323"/>
  <c r="J210" i="323" s="1"/>
  <c r="I209" i="323"/>
  <c r="J209" i="323" s="1"/>
  <c r="I208" i="323"/>
  <c r="J208" i="323" s="1"/>
  <c r="I206" i="323"/>
  <c r="J206" i="323"/>
  <c r="I205" i="323"/>
  <c r="J205" i="323"/>
  <c r="I204" i="323"/>
  <c r="J204" i="323"/>
  <c r="I203" i="323"/>
  <c r="J203" i="323"/>
  <c r="I202" i="323"/>
  <c r="J202" i="323" s="1"/>
  <c r="I201" i="323"/>
  <c r="J201" i="323" s="1"/>
  <c r="I200" i="323"/>
  <c r="J200" i="323" s="1"/>
  <c r="I199" i="323"/>
  <c r="J199" i="323" s="1"/>
  <c r="I198" i="323"/>
  <c r="J198" i="323" s="1"/>
  <c r="I197" i="323"/>
  <c r="J197" i="323" s="1"/>
  <c r="I195" i="323"/>
  <c r="J195" i="323"/>
  <c r="I194" i="323"/>
  <c r="J194" i="323"/>
  <c r="I193" i="323"/>
  <c r="J193" i="323"/>
  <c r="I192" i="323"/>
  <c r="J192" i="323" s="1"/>
  <c r="I191" i="323"/>
  <c r="J191" i="323" s="1"/>
  <c r="I190" i="323"/>
  <c r="J190" i="323" s="1"/>
  <c r="I189" i="323"/>
  <c r="J189" i="323" s="1"/>
  <c r="I188" i="323"/>
  <c r="J188" i="323" s="1"/>
  <c r="I187" i="323"/>
  <c r="J187" i="323" s="1"/>
  <c r="I186" i="323"/>
  <c r="J186" i="323" s="1"/>
  <c r="I184" i="323"/>
  <c r="J184" i="323"/>
  <c r="I183" i="323"/>
  <c r="J183" i="323"/>
  <c r="I182" i="323"/>
  <c r="J182" i="323"/>
  <c r="I181" i="323"/>
  <c r="J181" i="323" s="1"/>
  <c r="I180" i="323"/>
  <c r="J180" i="323" s="1"/>
  <c r="I179" i="323"/>
  <c r="J179" i="323" s="1"/>
  <c r="I178" i="323"/>
  <c r="J178" i="323" s="1"/>
  <c r="I177" i="323"/>
  <c r="J177" i="323" s="1"/>
  <c r="I176" i="323"/>
  <c r="J176" i="323" s="1"/>
  <c r="I175" i="323"/>
  <c r="J175"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J160" i="323"/>
  <c r="I159" i="323"/>
  <c r="J159" i="323"/>
  <c r="I158" i="323"/>
  <c r="J158" i="323"/>
  <c r="I157" i="323"/>
  <c r="J157" i="323"/>
  <c r="I156" i="323"/>
  <c r="J156" i="323"/>
  <c r="I155" i="323"/>
  <c r="J155" i="323"/>
  <c r="I154" i="323"/>
  <c r="J154" i="323"/>
  <c r="I153" i="323"/>
  <c r="J153" i="323"/>
  <c r="I152" i="323"/>
  <c r="J152" i="323"/>
  <c r="I151" i="323"/>
  <c r="J151" i="323"/>
  <c r="I150" i="323"/>
  <c r="J150" i="323"/>
  <c r="I149" i="323"/>
  <c r="J149" i="323"/>
  <c r="I148" i="323"/>
  <c r="J148" i="323"/>
  <c r="I147" i="323"/>
  <c r="J147" i="323"/>
  <c r="I146" i="323"/>
  <c r="J146" i="323"/>
  <c r="I145" i="323"/>
  <c r="J145" i="323"/>
  <c r="I144" i="323"/>
  <c r="J144" i="323"/>
  <c r="I143" i="323"/>
  <c r="J143" i="323"/>
  <c r="I142" i="323"/>
  <c r="J142" i="323"/>
  <c r="I141" i="323"/>
  <c r="J141" i="323"/>
  <c r="I140" i="323"/>
  <c r="J140" i="323"/>
  <c r="I139" i="323"/>
  <c r="J139" i="323"/>
  <c r="J138" i="323"/>
  <c r="I137" i="323"/>
  <c r="J137" i="323"/>
  <c r="I136" i="323"/>
  <c r="J136" i="323"/>
  <c r="I135" i="323"/>
  <c r="J135" i="323"/>
  <c r="I134" i="323"/>
  <c r="J134" i="323"/>
  <c r="I133" i="323"/>
  <c r="J133" i="323"/>
  <c r="I132" i="323"/>
  <c r="J132" i="323"/>
  <c r="I131" i="323"/>
  <c r="J131" i="323"/>
  <c r="I130" i="323"/>
  <c r="J130" i="323"/>
  <c r="I129" i="323"/>
  <c r="J129" i="323"/>
  <c r="I128" i="323"/>
  <c r="J128" i="323"/>
  <c r="I127" i="323"/>
  <c r="J127"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s="1"/>
  <c r="I89" i="323"/>
  <c r="J89" i="323" s="1"/>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s="1"/>
  <c r="J74" i="323"/>
  <c r="I73" i="323"/>
  <c r="J73" i="323"/>
  <c r="I71" i="323"/>
  <c r="J71" i="323"/>
  <c r="I70" i="323"/>
  <c r="J70" i="323"/>
  <c r="I69" i="323"/>
  <c r="J69" i="323"/>
  <c r="I68" i="323"/>
  <c r="J68" i="323"/>
  <c r="I67" i="323"/>
  <c r="J67" i="323"/>
  <c r="I66" i="323"/>
  <c r="J66" i="323"/>
  <c r="I65" i="323"/>
  <c r="J65" i="323"/>
  <c r="I64" i="323"/>
  <c r="J64" i="323" s="1"/>
  <c r="I63" i="323"/>
  <c r="J63" i="323" s="1"/>
  <c r="I62" i="323"/>
  <c r="J62" i="323"/>
  <c r="I60" i="323"/>
  <c r="J60" i="323"/>
  <c r="I59" i="323"/>
  <c r="J59" i="323"/>
  <c r="I58" i="323"/>
  <c r="J58" i="323"/>
  <c r="I57" i="323"/>
  <c r="J57" i="323"/>
  <c r="I56" i="323"/>
  <c r="J56" i="323" s="1"/>
  <c r="I55" i="323"/>
  <c r="J55" i="323" s="1"/>
  <c r="I54" i="323"/>
  <c r="J54" i="323" s="1"/>
  <c r="I53" i="323"/>
  <c r="J53" i="323"/>
  <c r="I52" i="323"/>
  <c r="J52" i="323" s="1"/>
  <c r="I51" i="323"/>
  <c r="J51" i="323" s="1"/>
  <c r="I49" i="323"/>
  <c r="J49" i="323"/>
  <c r="I48" i="323"/>
  <c r="J48" i="323"/>
  <c r="I47" i="323"/>
  <c r="J47" i="323"/>
  <c r="I46" i="323"/>
  <c r="J46" i="323"/>
  <c r="I45" i="323"/>
  <c r="J45" i="323"/>
  <c r="I44" i="323"/>
  <c r="J44" i="323"/>
  <c r="I43" i="323"/>
  <c r="J43" i="323" s="1"/>
  <c r="I42" i="323"/>
  <c r="J42" i="323"/>
  <c r="I41" i="323"/>
  <c r="J41" i="323"/>
  <c r="I40" i="323"/>
  <c r="J40" i="323"/>
  <c r="I38" i="323"/>
  <c r="J38" i="323"/>
  <c r="I37" i="323"/>
  <c r="J37" i="323"/>
  <c r="I36" i="323"/>
  <c r="J36" i="323"/>
  <c r="I35" i="323"/>
  <c r="J35" i="323"/>
  <c r="I34" i="323"/>
  <c r="J34" i="323"/>
  <c r="I33" i="323"/>
  <c r="J33" i="323"/>
  <c r="I32" i="323"/>
  <c r="J32" i="323"/>
  <c r="I31" i="323"/>
  <c r="J31" i="323" s="1"/>
  <c r="I30" i="323"/>
  <c r="J30" i="323" s="1"/>
  <c r="I29" i="323"/>
  <c r="J29" i="323" s="1"/>
  <c r="I27" i="323"/>
  <c r="J27" i="323"/>
  <c r="I26" i="323"/>
  <c r="J26" i="323"/>
  <c r="I25" i="323"/>
  <c r="J25" i="323"/>
  <c r="I24" i="323"/>
  <c r="J24" i="323"/>
  <c r="I23" i="323"/>
  <c r="J23" i="323"/>
  <c r="I22" i="323"/>
  <c r="J22" i="323"/>
  <c r="I21" i="323"/>
  <c r="J21" i="323"/>
  <c r="I20" i="323"/>
  <c r="J20" i="323" s="1"/>
  <c r="I19" i="323"/>
  <c r="J19" i="323" s="1"/>
  <c r="I18" i="323"/>
  <c r="J18" i="323"/>
  <c r="I16" i="323"/>
  <c r="J16" i="323"/>
  <c r="I15" i="323"/>
  <c r="J15" i="323"/>
  <c r="I14" i="323"/>
  <c r="J14" i="323"/>
  <c r="I13" i="323"/>
  <c r="J13" i="323"/>
  <c r="I12" i="323"/>
  <c r="J12" i="323"/>
  <c r="I11" i="323"/>
  <c r="J11" i="323"/>
  <c r="I10" i="323"/>
  <c r="J10" i="323"/>
  <c r="I9" i="323"/>
  <c r="J9" i="323"/>
  <c r="I8" i="323"/>
  <c r="J8" i="323"/>
  <c r="I7" i="323"/>
  <c r="J7" i="323"/>
  <c r="K3" i="323"/>
  <c r="J3" i="323"/>
  <c r="I3" i="323"/>
  <c r="H3" i="323"/>
  <c r="G3" i="323"/>
  <c r="F3" i="323"/>
  <c r="E3" i="323"/>
  <c r="D3" i="323"/>
  <c r="C3" i="323"/>
  <c r="A342" i="323"/>
  <c r="W170" i="323"/>
  <c r="W338" i="323"/>
  <c r="V170" i="323"/>
  <c r="V338" i="323"/>
  <c r="V340" i="323"/>
  <c r="U170" i="323"/>
  <c r="U338" i="323"/>
  <c r="U340" i="323"/>
  <c r="T170" i="323"/>
  <c r="T338" i="323"/>
  <c r="S170" i="323"/>
  <c r="S338" i="323"/>
  <c r="S340" i="323"/>
  <c r="R170" i="323"/>
  <c r="R338" i="323"/>
  <c r="R340" i="323"/>
  <c r="Q170" i="323"/>
  <c r="Q338" i="323"/>
  <c r="P170" i="323"/>
  <c r="P338" i="323"/>
  <c r="P340" i="323"/>
  <c r="O170" i="323"/>
  <c r="O338" i="323"/>
  <c r="O340" i="323"/>
  <c r="N170" i="323"/>
  <c r="N340" i="323"/>
  <c r="N338" i="323"/>
  <c r="M170" i="323"/>
  <c r="M338" i="323"/>
  <c r="L170" i="323"/>
  <c r="L340" i="323"/>
  <c r="L338" i="323"/>
  <c r="A341" i="323"/>
  <c r="W3" i="323"/>
  <c r="V3" i="323"/>
  <c r="U3" i="323"/>
  <c r="T3" i="323"/>
  <c r="S3" i="323"/>
  <c r="R3" i="323"/>
  <c r="Q3" i="323"/>
  <c r="P3" i="323"/>
  <c r="O3" i="323"/>
  <c r="N3" i="323"/>
  <c r="M3" i="323"/>
  <c r="L3" i="323"/>
  <c r="L2" i="323"/>
  <c r="B2" i="323"/>
  <c r="A2" i="323"/>
  <c r="B106" i="100"/>
  <c r="A101" i="172"/>
  <c r="K9" i="272"/>
  <c r="G14" i="272"/>
  <c r="F6" i="272"/>
  <c r="D8" i="272"/>
  <c r="D12" i="272"/>
  <c r="H26" i="272"/>
  <c r="G27" i="272"/>
  <c r="G32" i="272"/>
  <c r="H32" i="272"/>
  <c r="I36" i="272"/>
  <c r="J36" i="272"/>
  <c r="K31" i="272"/>
  <c r="K32" i="272"/>
  <c r="F26" i="272"/>
  <c r="E24" i="272"/>
  <c r="E30" i="272"/>
  <c r="E32" i="272"/>
  <c r="D24" i="272"/>
  <c r="D25" i="272"/>
  <c r="D26" i="272"/>
  <c r="D30" i="272"/>
  <c r="D31" i="272"/>
  <c r="D39" i="272"/>
  <c r="D40" i="272"/>
  <c r="C32" i="272"/>
  <c r="C31" i="272"/>
  <c r="C30" i="272"/>
  <c r="E78" i="100"/>
  <c r="B78" i="100"/>
  <c r="C3" i="272"/>
  <c r="A2" i="272"/>
  <c r="B2" i="272"/>
  <c r="F3" i="272"/>
  <c r="E3" i="272"/>
  <c r="D3" i="272"/>
  <c r="K3" i="272"/>
  <c r="J3" i="272"/>
  <c r="I3" i="272"/>
  <c r="H3" i="272"/>
  <c r="G3" i="272"/>
  <c r="A40" i="272"/>
  <c r="A41" i="272"/>
  <c r="E80" i="100"/>
  <c r="B80" i="100"/>
  <c r="A53" i="182"/>
  <c r="I43" i="182"/>
  <c r="J43" i="182"/>
  <c r="I35" i="182"/>
  <c r="J35" i="182"/>
  <c r="I34" i="182"/>
  <c r="J34" i="182" s="1"/>
  <c r="I32" i="182"/>
  <c r="J32" i="182" s="1"/>
  <c r="I31" i="182"/>
  <c r="J31" i="182" s="1"/>
  <c r="I30" i="182"/>
  <c r="J30" i="182" s="1"/>
  <c r="I29" i="182"/>
  <c r="J29" i="182" s="1"/>
  <c r="I28" i="182"/>
  <c r="J28" i="182" s="1"/>
  <c r="I27" i="182"/>
  <c r="J27" i="182" s="1"/>
  <c r="I26" i="182"/>
  <c r="J26" i="182" s="1"/>
  <c r="I25" i="182"/>
  <c r="J25" i="182" s="1"/>
  <c r="I21" i="182"/>
  <c r="J21" i="182"/>
  <c r="I20" i="182"/>
  <c r="J20" i="182" s="1"/>
  <c r="I18" i="182"/>
  <c r="J18" i="182" s="1"/>
  <c r="I17" i="182"/>
  <c r="J17" i="182" s="1"/>
  <c r="I16" i="182"/>
  <c r="J16" i="182" s="1"/>
  <c r="I15" i="182"/>
  <c r="J15" i="182"/>
  <c r="I12" i="182"/>
  <c r="J12" i="182" s="1"/>
  <c r="A49" i="182"/>
  <c r="K3" i="182"/>
  <c r="J3" i="182"/>
  <c r="I3" i="182"/>
  <c r="H3" i="182"/>
  <c r="G3" i="182"/>
  <c r="F3" i="182"/>
  <c r="E3" i="182"/>
  <c r="D3" i="182"/>
  <c r="C3" i="182"/>
  <c r="B2" i="182"/>
  <c r="A2" i="182"/>
  <c r="A344" i="324"/>
  <c r="W171" i="324"/>
  <c r="W342" i="324"/>
  <c r="W340" i="324"/>
  <c r="V171" i="324"/>
  <c r="V340" i="324"/>
  <c r="V342" i="324"/>
  <c r="U171" i="324"/>
  <c r="U342" i="324"/>
  <c r="U340" i="324"/>
  <c r="T171" i="324"/>
  <c r="T340" i="324"/>
  <c r="T342" i="324"/>
  <c r="S171" i="324"/>
  <c r="S340" i="324"/>
  <c r="S342" i="324"/>
  <c r="R171" i="324"/>
  <c r="R342" i="324"/>
  <c r="R340" i="324"/>
  <c r="Q171" i="324"/>
  <c r="Q340" i="324"/>
  <c r="P171" i="324"/>
  <c r="P342" i="324"/>
  <c r="P340" i="324"/>
  <c r="O171" i="324"/>
  <c r="O340" i="324"/>
  <c r="N171" i="324"/>
  <c r="N340" i="324"/>
  <c r="M171" i="324"/>
  <c r="M340" i="324"/>
  <c r="L171" i="324"/>
  <c r="L340" i="324"/>
  <c r="L342"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s="1"/>
  <c r="I259" i="324"/>
  <c r="J259" i="324" s="1"/>
  <c r="I258" i="324"/>
  <c r="J258" i="324"/>
  <c r="I257" i="324"/>
  <c r="J257" i="324"/>
  <c r="I256" i="324"/>
  <c r="J256" i="324" s="1"/>
  <c r="I255" i="324"/>
  <c r="J255" i="324"/>
  <c r="I254" i="324"/>
  <c r="J254" i="324"/>
  <c r="I252" i="324"/>
  <c r="J252" i="324"/>
  <c r="I251" i="324"/>
  <c r="J251" i="324"/>
  <c r="I250" i="324"/>
  <c r="J250" i="324"/>
  <c r="I249" i="324"/>
  <c r="J249" i="324"/>
  <c r="I248" i="324"/>
  <c r="J248" i="324"/>
  <c r="I247" i="324"/>
  <c r="J247" i="324"/>
  <c r="I246" i="324"/>
  <c r="J246" i="324"/>
  <c r="I245" i="324"/>
  <c r="J245" i="324" s="1"/>
  <c r="I244" i="324"/>
  <c r="J244" i="324" s="1"/>
  <c r="I243" i="324"/>
  <c r="J243" i="324"/>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6" i="324"/>
  <c r="J226" i="324"/>
  <c r="I225" i="324"/>
  <c r="J225" i="324"/>
  <c r="I224" i="324"/>
  <c r="J224" i="324"/>
  <c r="I223" i="324"/>
  <c r="J223" i="324"/>
  <c r="I222" i="324"/>
  <c r="J222" i="324"/>
  <c r="I221" i="324"/>
  <c r="J221" i="324"/>
  <c r="I219" i="324"/>
  <c r="J219" i="324"/>
  <c r="I218" i="324"/>
  <c r="J218" i="324"/>
  <c r="I217" i="324"/>
  <c r="J217" i="324"/>
  <c r="I216" i="324"/>
  <c r="J216" i="324"/>
  <c r="I215" i="324"/>
  <c r="J215" i="324"/>
  <c r="I214" i="324"/>
  <c r="J214" i="324"/>
  <c r="I213" i="324"/>
  <c r="J213" i="324"/>
  <c r="I212" i="324"/>
  <c r="J212" i="324"/>
  <c r="I211" i="324"/>
  <c r="J211" i="324"/>
  <c r="I210" i="324"/>
  <c r="J210" i="324"/>
  <c r="I208" i="324"/>
  <c r="J208" i="324"/>
  <c r="I207" i="324"/>
  <c r="J207" i="324"/>
  <c r="I206" i="324"/>
  <c r="J206" i="324"/>
  <c r="I205" i="324"/>
  <c r="J205" i="324"/>
  <c r="I204" i="324"/>
  <c r="J204" i="324"/>
  <c r="I203" i="324"/>
  <c r="J203" i="324"/>
  <c r="I202" i="324"/>
  <c r="J202" i="324"/>
  <c r="I201" i="324"/>
  <c r="J201" i="324"/>
  <c r="I200" i="324"/>
  <c r="J200" i="324"/>
  <c r="I199" i="324"/>
  <c r="J199" i="324"/>
  <c r="I197" i="324"/>
  <c r="J197" i="324"/>
  <c r="I196" i="324"/>
  <c r="J196" i="324"/>
  <c r="I195" i="324"/>
  <c r="J195" i="324"/>
  <c r="I194" i="324"/>
  <c r="J194" i="324"/>
  <c r="I193" i="324"/>
  <c r="J193" i="324"/>
  <c r="I192" i="324"/>
  <c r="J192" i="324"/>
  <c r="I191" i="324"/>
  <c r="J191" i="324"/>
  <c r="I190" i="324"/>
  <c r="J190" i="324"/>
  <c r="I189" i="324"/>
  <c r="J189" i="324"/>
  <c r="I188" i="324"/>
  <c r="J188" i="324"/>
  <c r="I186" i="324"/>
  <c r="J186" i="324"/>
  <c r="I185" i="324"/>
  <c r="J185" i="324"/>
  <c r="I184" i="324"/>
  <c r="J184" i="324"/>
  <c r="I183" i="324"/>
  <c r="J183" i="324"/>
  <c r="I182" i="324"/>
  <c r="J182" i="324"/>
  <c r="I181" i="324"/>
  <c r="J181" i="324"/>
  <c r="I180" i="324"/>
  <c r="J180" i="324"/>
  <c r="I179" i="324"/>
  <c r="J179" i="324"/>
  <c r="I178" i="324"/>
  <c r="J178" i="324"/>
  <c r="I177" i="324"/>
  <c r="J177" i="324"/>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c r="I65" i="324"/>
  <c r="J65" i="324"/>
  <c r="I64" i="324"/>
  <c r="J64" i="324"/>
  <c r="I63" i="324"/>
  <c r="J63" i="324"/>
  <c r="I62" i="324"/>
  <c r="J62" i="324"/>
  <c r="I61" i="324"/>
  <c r="J61" i="324"/>
  <c r="I60" i="324"/>
  <c r="J60" i="324"/>
  <c r="I59" i="324"/>
  <c r="J59" i="324"/>
  <c r="I58" i="324"/>
  <c r="J58" i="324"/>
  <c r="I57" i="324"/>
  <c r="J57" i="324"/>
  <c r="I56" i="324"/>
  <c r="J56" i="324"/>
  <c r="I55" i="324"/>
  <c r="J55" i="324"/>
  <c r="I54" i="324"/>
  <c r="J54" i="324"/>
  <c r="I53" i="324"/>
  <c r="J53" i="324"/>
  <c r="I52" i="324"/>
  <c r="J52" i="324"/>
  <c r="I51" i="324"/>
  <c r="J51" i="324"/>
  <c r="I50" i="324"/>
  <c r="J50" i="324"/>
  <c r="I49" i="324"/>
  <c r="J49" i="324"/>
  <c r="I48" i="324"/>
  <c r="J48" i="324"/>
  <c r="I47" i="324"/>
  <c r="J47" i="324"/>
  <c r="I46" i="324"/>
  <c r="J46" i="324"/>
  <c r="I45" i="324"/>
  <c r="J45" i="324"/>
  <c r="I44" i="324"/>
  <c r="J44" i="324"/>
  <c r="I43" i="324"/>
  <c r="J43" i="324"/>
  <c r="I42" i="324"/>
  <c r="J42" i="324"/>
  <c r="I41" i="324"/>
  <c r="J41" i="324"/>
  <c r="I39" i="324"/>
  <c r="J39" i="324"/>
  <c r="I38" i="324"/>
  <c r="J38" i="324"/>
  <c r="I37" i="324"/>
  <c r="J37" i="324"/>
  <c r="I36" i="324"/>
  <c r="J36" i="324"/>
  <c r="I35" i="324"/>
  <c r="J35" i="324"/>
  <c r="I34" i="324"/>
  <c r="J34" i="324"/>
  <c r="I33" i="324"/>
  <c r="J33" i="324"/>
  <c r="I32" i="324"/>
  <c r="J32" i="324"/>
  <c r="I31" i="324"/>
  <c r="J31" i="324"/>
  <c r="I30" i="324"/>
  <c r="J30" i="324"/>
  <c r="I28" i="324"/>
  <c r="J28" i="324"/>
  <c r="I27" i="324"/>
  <c r="J27" i="324"/>
  <c r="I26" i="324"/>
  <c r="J26" i="324"/>
  <c r="I25" i="324"/>
  <c r="J25" i="324"/>
  <c r="I24" i="324"/>
  <c r="J24" i="324"/>
  <c r="I23" i="324"/>
  <c r="J23" i="324"/>
  <c r="I22" i="324"/>
  <c r="J22" i="324"/>
  <c r="I21" i="324"/>
  <c r="J21" i="324"/>
  <c r="I20" i="324"/>
  <c r="J20" i="324"/>
  <c r="I19" i="324"/>
  <c r="J19" i="324"/>
  <c r="I17" i="324"/>
  <c r="J17" i="324"/>
  <c r="I16" i="324"/>
  <c r="J16" i="324"/>
  <c r="I15" i="324"/>
  <c r="J15" i="324"/>
  <c r="I14" i="324"/>
  <c r="J14" i="324"/>
  <c r="I13" i="324"/>
  <c r="J13" i="324"/>
  <c r="I12" i="324"/>
  <c r="J12" i="324"/>
  <c r="I11" i="324"/>
  <c r="J11" i="324"/>
  <c r="I10" i="324"/>
  <c r="J10" i="324"/>
  <c r="I9" i="324"/>
  <c r="J9"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I43" i="268"/>
  <c r="J43" i="268"/>
  <c r="H47" i="268"/>
  <c r="H53" i="268"/>
  <c r="H63" i="268" s="1"/>
  <c r="F43" i="268"/>
  <c r="F47" i="268"/>
  <c r="F53" i="268"/>
  <c r="E43" i="268"/>
  <c r="E47" i="268"/>
  <c r="E53" i="268"/>
  <c r="D43" i="268"/>
  <c r="D47" i="268"/>
  <c r="D53" i="268"/>
  <c r="C43" i="268"/>
  <c r="C47" i="268"/>
  <c r="C53" i="268"/>
  <c r="C63" i="268" s="1"/>
  <c r="I62" i="268"/>
  <c r="J62" i="268"/>
  <c r="I61" i="268"/>
  <c r="J61" i="268"/>
  <c r="I60" i="268"/>
  <c r="J60" i="268"/>
  <c r="I59" i="268"/>
  <c r="J59" i="268"/>
  <c r="I58" i="268"/>
  <c r="J58" i="268" s="1"/>
  <c r="I56" i="268"/>
  <c r="J56" i="268"/>
  <c r="I55" i="268"/>
  <c r="J55" i="268" s="1"/>
  <c r="I54" i="268"/>
  <c r="J54" i="268"/>
  <c r="I52" i="268"/>
  <c r="J52" i="268"/>
  <c r="I51" i="268"/>
  <c r="J51" i="268" s="1"/>
  <c r="I50" i="268"/>
  <c r="J50" i="268"/>
  <c r="I49" i="268"/>
  <c r="J49" i="268"/>
  <c r="I48" i="268"/>
  <c r="J48" i="268"/>
  <c r="I46" i="268"/>
  <c r="J46" i="268"/>
  <c r="I45" i="268"/>
  <c r="J45" i="268"/>
  <c r="I44" i="268"/>
  <c r="J44" i="268"/>
  <c r="I73" i="268"/>
  <c r="J73" i="268" s="1"/>
  <c r="I72" i="268"/>
  <c r="J72" i="268" s="1"/>
  <c r="I69" i="268"/>
  <c r="J69" i="268"/>
  <c r="I68" i="268"/>
  <c r="J68" i="268"/>
  <c r="I67" i="268"/>
  <c r="J67" i="268"/>
  <c r="A2" i="268"/>
  <c r="K3" i="268"/>
  <c r="J3" i="268"/>
  <c r="I3" i="268"/>
  <c r="H3" i="268"/>
  <c r="G3" i="268"/>
  <c r="F3" i="268"/>
  <c r="E3" i="268"/>
  <c r="D3" i="268"/>
  <c r="C3" i="268"/>
  <c r="B2" i="268"/>
  <c r="A75" i="268"/>
  <c r="E82" i="100"/>
  <c r="B82" i="100"/>
  <c r="F35" i="178"/>
  <c r="F13" i="178"/>
  <c r="F36" i="267"/>
  <c r="F48" i="178"/>
  <c r="F37" i="267"/>
  <c r="E26" i="178"/>
  <c r="E43" i="178" s="1"/>
  <c r="E54" i="178" s="1"/>
  <c r="A49" i="178"/>
  <c r="A2" i="178"/>
  <c r="G3" i="178"/>
  <c r="F3" i="178"/>
  <c r="E3" i="178"/>
  <c r="D3" i="178"/>
  <c r="C3" i="178"/>
  <c r="B2" i="178"/>
  <c r="F40" i="178"/>
  <c r="E41" i="178"/>
  <c r="I7" i="177"/>
  <c r="J7" i="177" s="1"/>
  <c r="I10" i="177"/>
  <c r="J10" i="177" s="1"/>
  <c r="I11" i="177"/>
  <c r="J11" i="177"/>
  <c r="I12" i="177"/>
  <c r="J12" i="177" s="1"/>
  <c r="I13" i="177"/>
  <c r="J13" i="177"/>
  <c r="I15" i="177"/>
  <c r="J15" i="177" s="1"/>
  <c r="I16" i="177"/>
  <c r="J16" i="177" s="1"/>
  <c r="I17" i="177"/>
  <c r="J17" i="177" s="1"/>
  <c r="E83" i="100"/>
  <c r="B83" i="100"/>
  <c r="I32" i="177"/>
  <c r="J32" i="177"/>
  <c r="I33" i="177"/>
  <c r="J33" i="177"/>
  <c r="I34" i="177"/>
  <c r="J34" i="177"/>
  <c r="I36" i="177"/>
  <c r="J36" i="177" s="1"/>
  <c r="J35" i="177"/>
  <c r="I22" i="177"/>
  <c r="J22" i="177"/>
  <c r="I27" i="177"/>
  <c r="J27" i="177" s="1"/>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H104" i="172"/>
  <c r="E104" i="172"/>
  <c r="D104" i="172"/>
  <c r="C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c r="F17" i="180"/>
  <c r="I17" i="180" s="1"/>
  <c r="H17" i="180"/>
  <c r="B39" i="172"/>
  <c r="F16" i="180"/>
  <c r="B38" i="172" s="1"/>
  <c r="F15" i="180"/>
  <c r="I15" i="180" s="1"/>
  <c r="B37" i="172"/>
  <c r="F14" i="180"/>
  <c r="I14" i="180" s="1"/>
  <c r="F13" i="180"/>
  <c r="H13" i="180" s="1"/>
  <c r="F12" i="180"/>
  <c r="I12" i="180" s="1"/>
  <c r="H12" i="180"/>
  <c r="F11" i="180"/>
  <c r="B33" i="172" s="1"/>
  <c r="F10" i="180"/>
  <c r="F9" i="180"/>
  <c r="B31" i="172" s="1"/>
  <c r="F8" i="180"/>
  <c r="J8" i="180"/>
  <c r="F7" i="180"/>
  <c r="B29" i="172"/>
  <c r="G6" i="180"/>
  <c r="C28" i="172"/>
  <c r="F6"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s="1"/>
  <c r="B81" i="172" s="1"/>
  <c r="K18" i="175"/>
  <c r="C79" i="172" s="1"/>
  <c r="B79" i="172" s="1"/>
  <c r="K17" i="175"/>
  <c r="C78" i="172" s="1"/>
  <c r="B78" i="172" s="1"/>
  <c r="I54" i="172"/>
  <c r="H54" i="172"/>
  <c r="G54" i="172"/>
  <c r="F54" i="172"/>
  <c r="E54" i="172"/>
  <c r="D54" i="172"/>
  <c r="C54" i="172"/>
  <c r="B54" i="172"/>
  <c r="G53" i="172"/>
  <c r="B15" i="251"/>
  <c r="B10" i="251"/>
  <c r="B5" i="251"/>
  <c r="A41" i="251"/>
  <c r="B2" i="251"/>
  <c r="A2" i="251"/>
  <c r="E93" i="100"/>
  <c r="A5" i="181"/>
  <c r="G36" i="181"/>
  <c r="H36" i="181"/>
  <c r="H38" i="181" s="1"/>
  <c r="H42" i="181" s="1"/>
  <c r="H44" i="181" s="1"/>
  <c r="I43" i="181"/>
  <c r="J43" i="181"/>
  <c r="I41" i="181"/>
  <c r="J41" i="181"/>
  <c r="I40" i="181"/>
  <c r="J40" i="181"/>
  <c r="I39" i="181"/>
  <c r="J39" i="181"/>
  <c r="I35" i="181"/>
  <c r="J35" i="181"/>
  <c r="I34" i="181"/>
  <c r="J34" i="181" s="1"/>
  <c r="I33" i="181"/>
  <c r="J33" i="181" s="1"/>
  <c r="I32" i="181"/>
  <c r="J32" i="181"/>
  <c r="I31" i="181"/>
  <c r="J31" i="181" s="1"/>
  <c r="I30" i="181"/>
  <c r="J30" i="181" s="1"/>
  <c r="I29" i="181"/>
  <c r="J29" i="181" s="1"/>
  <c r="I28" i="181"/>
  <c r="J28" i="181" s="1"/>
  <c r="I27" i="181"/>
  <c r="J27" i="181" s="1"/>
  <c r="I26" i="181"/>
  <c r="J26" i="181" s="1"/>
  <c r="I25" i="181"/>
  <c r="J25" i="181" s="1"/>
  <c r="I21" i="181"/>
  <c r="J21" i="181"/>
  <c r="I20" i="181"/>
  <c r="J20" i="181" s="1"/>
  <c r="I19" i="181"/>
  <c r="J19" i="181" s="1"/>
  <c r="I18" i="181"/>
  <c r="J18" i="181" s="1"/>
  <c r="I17" i="181"/>
  <c r="J17" i="181" s="1"/>
  <c r="I16" i="181"/>
  <c r="J16" i="181" s="1"/>
  <c r="I15" i="181"/>
  <c r="J15" i="181" s="1"/>
  <c r="I14" i="181"/>
  <c r="J14" i="181" s="1"/>
  <c r="I13" i="181"/>
  <c r="J13" i="181" s="1"/>
  <c r="I12" i="181"/>
  <c r="J12" i="181" s="1"/>
  <c r="I10" i="181"/>
  <c r="J10" i="181" s="1"/>
  <c r="I9" i="181"/>
  <c r="J9" i="181"/>
  <c r="I8" i="181"/>
  <c r="J8" i="181"/>
  <c r="I7" i="181"/>
  <c r="J7" i="181" s="1"/>
  <c r="I6" i="181"/>
  <c r="J6" i="181" s="1"/>
  <c r="K36" i="181"/>
  <c r="F36" i="181"/>
  <c r="E36" i="181"/>
  <c r="D36" i="181"/>
  <c r="C36" i="181"/>
  <c r="C38" i="181"/>
  <c r="C42" i="181"/>
  <c r="C44"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B95" i="100"/>
  <c r="E18" i="180"/>
  <c r="D18" i="180"/>
  <c r="C18" i="180"/>
  <c r="I3" i="180"/>
  <c r="H3" i="180"/>
  <c r="B3" i="180"/>
  <c r="B18" i="180"/>
  <c r="I136" i="242"/>
  <c r="J136" i="242"/>
  <c r="J134" i="242"/>
  <c r="J137" i="242"/>
  <c r="I107" i="242"/>
  <c r="J107" i="242"/>
  <c r="I108" i="242"/>
  <c r="J108"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F7" i="174" s="1"/>
  <c r="E42" i="174"/>
  <c r="E44" i="174"/>
  <c r="H40" i="174"/>
  <c r="G40" i="174"/>
  <c r="F40" i="174"/>
  <c r="E40" i="174"/>
  <c r="D42" i="174"/>
  <c r="D44" i="174"/>
  <c r="D40" i="174"/>
  <c r="H63" i="174"/>
  <c r="H18" i="174"/>
  <c r="G63" i="174"/>
  <c r="G18" i="174"/>
  <c r="F63" i="174"/>
  <c r="F18" i="174"/>
  <c r="E63" i="174"/>
  <c r="E18" i="174"/>
  <c r="H59" i="174"/>
  <c r="G59" i="174"/>
  <c r="F59" i="174"/>
  <c r="E59" i="174"/>
  <c r="D63" i="174"/>
  <c r="D18" i="174"/>
  <c r="D59" i="174"/>
  <c r="G53" i="174"/>
  <c r="G14" i="174"/>
  <c r="F53" i="174"/>
  <c r="F14" i="174"/>
  <c r="E53" i="174"/>
  <c r="E14" i="174"/>
  <c r="H51" i="174"/>
  <c r="H50" i="174"/>
  <c r="G51" i="174"/>
  <c r="G50" i="174"/>
  <c r="F51" i="174"/>
  <c r="F50" i="174"/>
  <c r="E51" i="174"/>
  <c r="E11" i="174"/>
  <c r="E50" i="174"/>
  <c r="D51" i="174"/>
  <c r="D11" i="174"/>
  <c r="D50" i="174"/>
  <c r="H48" i="174"/>
  <c r="H49" i="174"/>
  <c r="H10"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H26" i="175" s="1"/>
  <c r="H27" i="175" s="1"/>
  <c r="G21" i="175"/>
  <c r="F21" i="175"/>
  <c r="E21" i="175"/>
  <c r="D21" i="175"/>
  <c r="C21" i="175"/>
  <c r="A2" i="175"/>
  <c r="M14" i="175"/>
  <c r="M21" i="175"/>
  <c r="L15" i="173"/>
  <c r="A2" i="173"/>
  <c r="C41" i="270"/>
  <c r="C59" i="270"/>
  <c r="C69" i="270"/>
  <c r="I63" i="270"/>
  <c r="J63" i="270"/>
  <c r="I53" i="270"/>
  <c r="J53" i="270"/>
  <c r="K52" i="270"/>
  <c r="G52" i="270"/>
  <c r="H52" i="270"/>
  <c r="I52" i="270"/>
  <c r="J52" i="270"/>
  <c r="F52" i="270"/>
  <c r="E52" i="270"/>
  <c r="D52" i="270"/>
  <c r="K62" i="270"/>
  <c r="G62" i="270"/>
  <c r="I62" i="270"/>
  <c r="J62" i="270"/>
  <c r="H62" i="270"/>
  <c r="F62" i="270"/>
  <c r="E62" i="270"/>
  <c r="D62" i="270"/>
  <c r="I61" i="270"/>
  <c r="J61" i="270"/>
  <c r="I60" i="270"/>
  <c r="J60" i="270"/>
  <c r="K59" i="270"/>
  <c r="G59" i="270"/>
  <c r="H59" i="270"/>
  <c r="F59" i="270"/>
  <c r="E59" i="270"/>
  <c r="D59" i="270"/>
  <c r="K41" i="270"/>
  <c r="K69" i="270"/>
  <c r="K71" i="270"/>
  <c r="G41" i="270"/>
  <c r="G69" i="270" s="1"/>
  <c r="H41" i="270"/>
  <c r="F41" i="270"/>
  <c r="F69" i="270" s="1"/>
  <c r="E41" i="270"/>
  <c r="E69" i="270"/>
  <c r="E71" i="270"/>
  <c r="D41" i="270"/>
  <c r="G27" i="270"/>
  <c r="I27" i="270"/>
  <c r="J27" i="270"/>
  <c r="H27" i="270"/>
  <c r="I28" i="270"/>
  <c r="J28" i="270"/>
  <c r="I29" i="270"/>
  <c r="J29" i="270"/>
  <c r="G30" i="270"/>
  <c r="H30" i="270"/>
  <c r="I31" i="270"/>
  <c r="J31" i="270"/>
  <c r="I37" i="270"/>
  <c r="J37" i="270"/>
  <c r="K8" i="270"/>
  <c r="K20" i="270"/>
  <c r="K27" i="270"/>
  <c r="K30" i="270"/>
  <c r="H8" i="270"/>
  <c r="H38" i="270"/>
  <c r="H71" i="270"/>
  <c r="H20" i="270"/>
  <c r="G8" i="270"/>
  <c r="G38" i="270" s="1"/>
  <c r="G20" i="270"/>
  <c r="F8" i="270"/>
  <c r="F38" i="270" s="1"/>
  <c r="F20" i="270"/>
  <c r="F27" i="270"/>
  <c r="F30" i="270"/>
  <c r="E8" i="270"/>
  <c r="E38" i="270"/>
  <c r="E20" i="270"/>
  <c r="E27" i="270"/>
  <c r="E30" i="270"/>
  <c r="D8" i="270"/>
  <c r="D38" i="270"/>
  <c r="D20" i="270"/>
  <c r="D27" i="270"/>
  <c r="D30" i="270"/>
  <c r="C8" i="270"/>
  <c r="C20" i="270"/>
  <c r="C27" i="270"/>
  <c r="A62" i="270"/>
  <c r="A44" i="269"/>
  <c r="A44" i="334"/>
  <c r="A59" i="270"/>
  <c r="A52" i="270"/>
  <c r="A41" i="270"/>
  <c r="A31" i="269"/>
  <c r="A31" i="334"/>
  <c r="I42" i="270"/>
  <c r="I41" i="270" s="1"/>
  <c r="I47" i="270"/>
  <c r="J47" i="270"/>
  <c r="I48" i="270"/>
  <c r="I49" i="270"/>
  <c r="J49" i="270"/>
  <c r="I50" i="270"/>
  <c r="J50" i="270"/>
  <c r="I51" i="270"/>
  <c r="J51" i="270"/>
  <c r="I58" i="270"/>
  <c r="J58" i="270"/>
  <c r="I68" i="270"/>
  <c r="J68" i="270"/>
  <c r="I9" i="270"/>
  <c r="J9" i="270" s="1"/>
  <c r="I14" i="270"/>
  <c r="J14" i="270"/>
  <c r="I15" i="270"/>
  <c r="J15" i="270"/>
  <c r="I16" i="270"/>
  <c r="I17" i="270"/>
  <c r="J17" i="270"/>
  <c r="I18" i="270"/>
  <c r="J18" i="270"/>
  <c r="I19" i="270"/>
  <c r="J19" i="270"/>
  <c r="I21" i="270"/>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I44" i="269"/>
  <c r="J44" i="269"/>
  <c r="H44" i="269"/>
  <c r="F44" i="269"/>
  <c r="E44" i="269"/>
  <c r="D44" i="269"/>
  <c r="C44" i="269"/>
  <c r="I43" i="269"/>
  <c r="J43" i="269"/>
  <c r="I42" i="269"/>
  <c r="J42" i="269"/>
  <c r="K41" i="269"/>
  <c r="G41" i="269"/>
  <c r="I41" i="269"/>
  <c r="H41" i="269"/>
  <c r="F41" i="269"/>
  <c r="E41" i="269"/>
  <c r="D41" i="269"/>
  <c r="C41" i="269"/>
  <c r="I40" i="269"/>
  <c r="J40" i="269"/>
  <c r="I39" i="269"/>
  <c r="J39" i="269"/>
  <c r="K38" i="269"/>
  <c r="G38" i="269"/>
  <c r="I38" i="269"/>
  <c r="J38" i="269"/>
  <c r="H38" i="269"/>
  <c r="F38" i="269"/>
  <c r="E38" i="269"/>
  <c r="D38" i="269"/>
  <c r="C38" i="269"/>
  <c r="I37" i="269"/>
  <c r="J37" i="269"/>
  <c r="I36" i="269"/>
  <c r="J36" i="269"/>
  <c r="I35" i="269"/>
  <c r="J35" i="269"/>
  <c r="I34" i="269"/>
  <c r="J34" i="269"/>
  <c r="I33" i="269"/>
  <c r="I32" i="269"/>
  <c r="I31" i="269" s="1"/>
  <c r="K31" i="269"/>
  <c r="H31" i="269"/>
  <c r="H47" i="269"/>
  <c r="G31" i="269"/>
  <c r="G47" i="269" s="1"/>
  <c r="F31" i="269"/>
  <c r="F47" i="269" s="1"/>
  <c r="E31" i="269"/>
  <c r="E47" i="269"/>
  <c r="D31" i="269"/>
  <c r="D47" i="269"/>
  <c r="C31" i="269"/>
  <c r="K8" i="269"/>
  <c r="K16" i="269"/>
  <c r="K22" i="269"/>
  <c r="K25" i="269"/>
  <c r="I9" i="269"/>
  <c r="I10" i="269"/>
  <c r="J10" i="269" s="1"/>
  <c r="I11" i="269"/>
  <c r="J11" i="269"/>
  <c r="I12" i="269"/>
  <c r="J12" i="269" s="1"/>
  <c r="I13" i="269"/>
  <c r="I14" i="269"/>
  <c r="J14" i="269"/>
  <c r="I15" i="269"/>
  <c r="J15" i="269" s="1"/>
  <c r="I17" i="269"/>
  <c r="I18" i="269"/>
  <c r="J18" i="269"/>
  <c r="I19" i="269"/>
  <c r="J19" i="269"/>
  <c r="I20" i="269"/>
  <c r="J20" i="269"/>
  <c r="I21" i="269"/>
  <c r="J21" i="269"/>
  <c r="G22" i="269"/>
  <c r="I22" i="269"/>
  <c r="J22" i="269"/>
  <c r="H22" i="269"/>
  <c r="G25" i="269"/>
  <c r="I25" i="269"/>
  <c r="H25" i="269"/>
  <c r="H8" i="269"/>
  <c r="H28" i="269"/>
  <c r="H16" i="269"/>
  <c r="G8" i="269"/>
  <c r="G28" i="269" s="1"/>
  <c r="G16" i="269"/>
  <c r="F8" i="269"/>
  <c r="F28" i="269" s="1"/>
  <c r="F16" i="269"/>
  <c r="F22" i="269"/>
  <c r="F25" i="269"/>
  <c r="E8" i="269"/>
  <c r="E28" i="269"/>
  <c r="E16" i="269"/>
  <c r="E25" i="269"/>
  <c r="D8" i="269"/>
  <c r="D28" i="269"/>
  <c r="D16" i="269"/>
  <c r="D22" i="269"/>
  <c r="D25" i="269"/>
  <c r="C8" i="269"/>
  <c r="C28" i="269"/>
  <c r="C49" i="269"/>
  <c r="C16" i="269"/>
  <c r="C22" i="269"/>
  <c r="C25" i="269"/>
  <c r="I27" i="269"/>
  <c r="J27" i="269"/>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30" i="318"/>
  <c r="H46" i="318"/>
  <c r="H83" i="318"/>
  <c r="H99" i="318"/>
  <c r="J99" i="318"/>
  <c r="G30" i="318"/>
  <c r="G46" i="318"/>
  <c r="G83" i="318"/>
  <c r="G99" i="318"/>
  <c r="I99" i="318"/>
  <c r="F30" i="318"/>
  <c r="F46" i="318"/>
  <c r="F83" i="318"/>
  <c r="F99" i="318"/>
  <c r="G14" i="318"/>
  <c r="G67" i="318"/>
  <c r="G102" i="318"/>
  <c r="H14" i="318"/>
  <c r="I14" i="318"/>
  <c r="J14" i="318" s="1"/>
  <c r="H67" i="318"/>
  <c r="H102" i="318"/>
  <c r="K14" i="318"/>
  <c r="K30" i="318"/>
  <c r="K46" i="318"/>
  <c r="K67" i="318"/>
  <c r="K102" i="318"/>
  <c r="K83" i="318"/>
  <c r="K99" i="318"/>
  <c r="K100" i="318"/>
  <c r="E14" i="318"/>
  <c r="E30" i="318"/>
  <c r="E31" i="318" s="1"/>
  <c r="E46" i="318"/>
  <c r="E106" i="318" s="1"/>
  <c r="E67" i="318"/>
  <c r="E83" i="318"/>
  <c r="E84" i="318"/>
  <c r="E99" i="318"/>
  <c r="E100" i="318"/>
  <c r="D14" i="318"/>
  <c r="D30" i="318"/>
  <c r="D46" i="318"/>
  <c r="D67" i="318"/>
  <c r="D68" i="318"/>
  <c r="D83" i="318"/>
  <c r="D84" i="318"/>
  <c r="D99" i="318"/>
  <c r="D100" i="318"/>
  <c r="C83" i="318"/>
  <c r="C14" i="318"/>
  <c r="E15" i="318"/>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c r="I28" i="318"/>
  <c r="J28" i="318"/>
  <c r="I27" i="318"/>
  <c r="J27" i="318"/>
  <c r="I26" i="318"/>
  <c r="J26" i="318"/>
  <c r="I21" i="318"/>
  <c r="J21" i="318"/>
  <c r="I20" i="318"/>
  <c r="J20" i="318"/>
  <c r="I19" i="318"/>
  <c r="J19" i="318"/>
  <c r="I18" i="318"/>
  <c r="J18" i="318" s="1"/>
  <c r="I13" i="318"/>
  <c r="J13" i="318"/>
  <c r="I9" i="318"/>
  <c r="J9" i="318"/>
  <c r="I8" i="318"/>
  <c r="J8" i="318"/>
  <c r="I7" i="318"/>
  <c r="J7" i="318" s="1"/>
  <c r="C30" i="318"/>
  <c r="C46" i="318"/>
  <c r="D47" i="318"/>
  <c r="K3" i="318"/>
  <c r="J3" i="318"/>
  <c r="I3" i="318"/>
  <c r="H3" i="318"/>
  <c r="G3" i="318"/>
  <c r="F3" i="318"/>
  <c r="E3" i="318"/>
  <c r="D3" i="318"/>
  <c r="C3" i="318"/>
  <c r="B2" i="318"/>
  <c r="F14" i="318"/>
  <c r="C67" i="318"/>
  <c r="C102" i="318"/>
  <c r="F67" i="318"/>
  <c r="C99" i="318"/>
  <c r="A107" i="318"/>
  <c r="P46" i="317"/>
  <c r="P65" i="317"/>
  <c r="O46" i="317"/>
  <c r="O65" i="317"/>
  <c r="O55" i="317"/>
  <c r="Q46" i="317"/>
  <c r="Q52" i="317"/>
  <c r="D46" i="317"/>
  <c r="D52" i="317"/>
  <c r="C46" i="317"/>
  <c r="C52" i="317"/>
  <c r="E46" i="317"/>
  <c r="E65" i="317" s="1"/>
  <c r="F46" i="317"/>
  <c r="F52" i="317" s="1"/>
  <c r="G46" i="317"/>
  <c r="G65" i="317" s="1"/>
  <c r="G52" i="317"/>
  <c r="H46" i="317"/>
  <c r="H65" i="317" s="1"/>
  <c r="I46" i="317"/>
  <c r="I65" i="317"/>
  <c r="J46" i="317"/>
  <c r="J65" i="317"/>
  <c r="K46" i="317"/>
  <c r="K65" i="317"/>
  <c r="L46" i="317"/>
  <c r="L52" i="317"/>
  <c r="M33" i="317"/>
  <c r="M46" i="317"/>
  <c r="M52" i="317"/>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2" i="317"/>
  <c r="B46" i="317"/>
  <c r="B52" i="317"/>
  <c r="B54" i="317"/>
  <c r="A57" i="317"/>
  <c r="J11" i="180"/>
  <c r="E38" i="181"/>
  <c r="E42" i="181" s="1"/>
  <c r="E44" i="181" s="1"/>
  <c r="F11" i="174"/>
  <c r="G41" i="178"/>
  <c r="H27" i="268"/>
  <c r="I275" i="324"/>
  <c r="I33" i="268"/>
  <c r="J33" i="268"/>
  <c r="H35" i="268"/>
  <c r="I319" i="324"/>
  <c r="Q340" i="323"/>
  <c r="I29" i="183"/>
  <c r="J29" i="183"/>
  <c r="J275" i="324"/>
  <c r="M342" i="324"/>
  <c r="I32" i="272"/>
  <c r="J32" i="272"/>
  <c r="T340" i="323"/>
  <c r="I18" i="272"/>
  <c r="J18" i="272"/>
  <c r="I16" i="272"/>
  <c r="J16" i="272"/>
  <c r="J6" i="180"/>
  <c r="F9" i="241"/>
  <c r="G45" i="241"/>
  <c r="D21" i="241"/>
  <c r="D20" i="241"/>
  <c r="L65" i="317"/>
  <c r="I176" i="324"/>
  <c r="I24" i="268"/>
  <c r="J24" i="268"/>
  <c r="I264" i="324"/>
  <c r="I330" i="324"/>
  <c r="B79" i="100"/>
  <c r="B96" i="100"/>
  <c r="B97" i="100"/>
  <c r="J176" i="324"/>
  <c r="K49" i="318"/>
  <c r="J41" i="269"/>
  <c r="D69" i="270"/>
  <c r="H11" i="174"/>
  <c r="N342" i="324"/>
  <c r="J11" i="268"/>
  <c r="I220" i="324"/>
  <c r="I28" i="268"/>
  <c r="J28" i="268"/>
  <c r="I286" i="324"/>
  <c r="I297" i="324"/>
  <c r="J297" i="324"/>
  <c r="I19" i="272"/>
  <c r="J19" i="272"/>
  <c r="I17" i="272"/>
  <c r="J17" i="272"/>
  <c r="A6" i="323"/>
  <c r="A28" i="323"/>
  <c r="A72" i="323"/>
  <c r="A94" i="323"/>
  <c r="A116" i="323"/>
  <c r="A262" i="323"/>
  <c r="A295" i="323"/>
  <c r="A317" i="323"/>
  <c r="A19" i="272"/>
  <c r="A17" i="272"/>
  <c r="A15" i="272"/>
  <c r="A11" i="272"/>
  <c r="A7" i="272"/>
  <c r="A36" i="272"/>
  <c r="A34" i="272"/>
  <c r="A30" i="272"/>
  <c r="A28" i="272"/>
  <c r="A26" i="272"/>
  <c r="A308" i="324"/>
  <c r="A286" i="324"/>
  <c r="A242" i="324"/>
  <c r="A220" i="324"/>
  <c r="A198" i="324"/>
  <c r="A18" i="324"/>
  <c r="A106" i="324"/>
  <c r="A128" i="324"/>
  <c r="A150" i="324"/>
  <c r="A19" i="268"/>
  <c r="A17" i="268"/>
  <c r="A15" i="268"/>
  <c r="A11" i="268"/>
  <c r="A7" i="268"/>
  <c r="A36" i="268"/>
  <c r="A34" i="268"/>
  <c r="A30" i="268"/>
  <c r="A26" i="268"/>
  <c r="A149" i="323"/>
  <c r="A174" i="323"/>
  <c r="A185" i="323"/>
  <c r="A273" i="323"/>
  <c r="A284" i="323"/>
  <c r="A306" i="323"/>
  <c r="A20" i="272"/>
  <c r="A16" i="272"/>
  <c r="A14" i="272"/>
  <c r="A12" i="272"/>
  <c r="A37" i="272"/>
  <c r="A33" i="272"/>
  <c r="A31" i="272"/>
  <c r="A29" i="272"/>
  <c r="A25" i="272"/>
  <c r="A319" i="324"/>
  <c r="A275" i="324"/>
  <c r="A231" i="324"/>
  <c r="A51" i="324"/>
  <c r="A73" i="324"/>
  <c r="A95" i="324"/>
  <c r="A117" i="324"/>
  <c r="A139" i="324"/>
  <c r="I10" i="268"/>
  <c r="J10" i="268"/>
  <c r="I18" i="268"/>
  <c r="J18" i="268"/>
  <c r="I67" i="318"/>
  <c r="J67" i="318"/>
  <c r="I35" i="268"/>
  <c r="J35" i="268"/>
  <c r="J220" i="324"/>
  <c r="G6" i="272"/>
  <c r="D7" i="272"/>
  <c r="A127" i="323"/>
  <c r="I36" i="268"/>
  <c r="J36" i="268"/>
  <c r="J308" i="324"/>
  <c r="A33" i="268"/>
  <c r="A29" i="268"/>
  <c r="A25" i="268"/>
  <c r="I209" i="324"/>
  <c r="J209" i="324"/>
  <c r="I27" i="268"/>
  <c r="J27" i="268"/>
  <c r="I37" i="268"/>
  <c r="J37" i="268"/>
  <c r="J319" i="324"/>
  <c r="J52" i="317"/>
  <c r="K7" i="241"/>
  <c r="K6" i="241"/>
  <c r="G19" i="241"/>
  <c r="H30" i="241"/>
  <c r="B81" i="100"/>
  <c r="A31" i="268"/>
  <c r="A61" i="323"/>
  <c r="A27" i="268"/>
  <c r="A62" i="324"/>
  <c r="F8" i="334"/>
  <c r="G9" i="334"/>
  <c r="F25" i="334"/>
  <c r="G25" i="334"/>
  <c r="F41" i="334"/>
  <c r="G41" i="334"/>
  <c r="G45" i="334"/>
  <c r="F22" i="334"/>
  <c r="G22" i="334"/>
  <c r="D38" i="268"/>
  <c r="J25" i="269"/>
  <c r="I16" i="183"/>
  <c r="J16" i="183"/>
  <c r="K9" i="268"/>
  <c r="F7" i="268"/>
  <c r="F172" i="324"/>
  <c r="G16" i="268"/>
  <c r="J117" i="324"/>
  <c r="H29" i="268"/>
  <c r="H16" i="268"/>
  <c r="I16" i="268"/>
  <c r="J16" i="268"/>
  <c r="H172" i="324"/>
  <c r="F24" i="268"/>
  <c r="K84" i="318"/>
  <c r="D17" i="272"/>
  <c r="K68" i="318"/>
  <c r="J33" i="269"/>
  <c r="A38" i="334"/>
  <c r="A38" i="269"/>
  <c r="D106" i="318"/>
  <c r="C47" i="269"/>
  <c r="F39" i="267"/>
  <c r="J26" i="175"/>
  <c r="J27" i="175"/>
  <c r="I50" i="267"/>
  <c r="I53" i="172"/>
  <c r="K47" i="269"/>
  <c r="O342" i="324"/>
  <c r="C31" i="183"/>
  <c r="G11" i="174"/>
  <c r="K28" i="269"/>
  <c r="K49" i="269"/>
  <c r="H15" i="272"/>
  <c r="I15" i="272"/>
  <c r="I105" i="323"/>
  <c r="J105" i="323"/>
  <c r="G29" i="267"/>
  <c r="J29" i="267"/>
  <c r="J33" i="267"/>
  <c r="W340" i="323"/>
  <c r="C172" i="324"/>
  <c r="A218" i="323"/>
  <c r="A10" i="268"/>
  <c r="K24" i="268"/>
  <c r="I31" i="183"/>
  <c r="J31" i="183"/>
  <c r="J15" i="272"/>
  <c r="I29" i="268"/>
  <c r="J29" i="268"/>
  <c r="J231" i="324"/>
  <c r="B100" i="100"/>
  <c r="K117" i="326"/>
  <c r="J130" i="326"/>
  <c r="I63" i="335"/>
  <c r="J63" i="335"/>
  <c r="I99" i="335"/>
  <c r="J99" i="335"/>
  <c r="G110" i="335"/>
  <c r="I130" i="335"/>
  <c r="J130" i="335"/>
  <c r="I157" i="335"/>
  <c r="J157" i="335"/>
  <c r="I110" i="335"/>
  <c r="J110" i="335"/>
  <c r="G75" i="333"/>
  <c r="I75" i="333"/>
  <c r="H110" i="333"/>
  <c r="E117" i="333"/>
  <c r="I138" i="333"/>
  <c r="J138" i="333"/>
  <c r="I140" i="333"/>
  <c r="J140" i="333"/>
  <c r="I38" i="333"/>
  <c r="J38" i="333"/>
  <c r="J75" i="333"/>
  <c r="I163" i="333"/>
  <c r="J163" i="333"/>
  <c r="D117" i="333"/>
  <c r="I148" i="333"/>
  <c r="J148" i="333"/>
  <c r="I17" i="333"/>
  <c r="J17" i="333"/>
  <c r="I69" i="333"/>
  <c r="J69" i="333"/>
  <c r="I27" i="333"/>
  <c r="J27" i="333"/>
  <c r="I45" i="333"/>
  <c r="J45" i="333"/>
  <c r="I76" i="333"/>
  <c r="J76" i="333"/>
  <c r="I111" i="333"/>
  <c r="J111" i="333"/>
  <c r="C117" i="333"/>
  <c r="I63" i="333"/>
  <c r="J63" i="333"/>
  <c r="I110" i="333"/>
  <c r="J110" i="333"/>
  <c r="I157" i="333"/>
  <c r="J157" i="333"/>
  <c r="F110" i="333"/>
  <c r="J160" i="333"/>
  <c r="I38" i="325"/>
  <c r="J38" i="325"/>
  <c r="I160" i="325"/>
  <c r="J160" i="325"/>
  <c r="I163" i="325"/>
  <c r="J163" i="325"/>
  <c r="I69" i="325"/>
  <c r="J69" i="325"/>
  <c r="C75" i="325"/>
  <c r="I135" i="325"/>
  <c r="J135" i="325"/>
  <c r="I103" i="325"/>
  <c r="J103" i="325"/>
  <c r="I111" i="325"/>
  <c r="J111" i="325"/>
  <c r="J45" i="325"/>
  <c r="H110" i="325"/>
  <c r="I110" i="325"/>
  <c r="J110" i="325"/>
  <c r="I27" i="325"/>
  <c r="J27" i="325"/>
  <c r="H75" i="325"/>
  <c r="I75" i="325"/>
  <c r="J75" i="325"/>
  <c r="F110" i="325"/>
  <c r="E110" i="325"/>
  <c r="I63" i="325"/>
  <c r="J63" i="325"/>
  <c r="I76" i="325"/>
  <c r="J76" i="325"/>
  <c r="I99" i="325"/>
  <c r="J99" i="325"/>
  <c r="F110" i="326"/>
  <c r="E110" i="326"/>
  <c r="J63" i="326"/>
  <c r="C75" i="326"/>
  <c r="G75" i="326"/>
  <c r="I135" i="326"/>
  <c r="J135" i="326"/>
  <c r="I17" i="326"/>
  <c r="J17" i="326"/>
  <c r="I69" i="326"/>
  <c r="J69" i="326"/>
  <c r="I114" i="326"/>
  <c r="J114" i="326"/>
  <c r="I154" i="326"/>
  <c r="J154" i="326"/>
  <c r="I157" i="326"/>
  <c r="J157" i="326"/>
  <c r="I27" i="326"/>
  <c r="J27" i="326"/>
  <c r="C110" i="326"/>
  <c r="C117" i="326"/>
  <c r="G117" i="326"/>
  <c r="I160" i="326"/>
  <c r="J160" i="326"/>
  <c r="I99" i="326"/>
  <c r="J99" i="326"/>
  <c r="D110" i="326"/>
  <c r="H110" i="326"/>
  <c r="D117" i="326"/>
  <c r="H117" i="326"/>
  <c r="I117" i="326"/>
  <c r="I148" i="326"/>
  <c r="J148" i="326"/>
  <c r="D7" i="326"/>
  <c r="D166" i="326"/>
  <c r="K7" i="326"/>
  <c r="K166" i="326"/>
  <c r="I13" i="326"/>
  <c r="J13" i="326"/>
  <c r="E7" i="326"/>
  <c r="J163" i="326"/>
  <c r="F7" i="326"/>
  <c r="F166" i="326"/>
  <c r="K110" i="326"/>
  <c r="E117" i="326"/>
  <c r="J118" i="326"/>
  <c r="I140" i="326"/>
  <c r="J140" i="326"/>
  <c r="G7" i="326"/>
  <c r="I38" i="326"/>
  <c r="J38" i="326"/>
  <c r="I45" i="326"/>
  <c r="J45" i="326"/>
  <c r="E75" i="326"/>
  <c r="I103" i="326"/>
  <c r="J103" i="326"/>
  <c r="I151" i="326"/>
  <c r="J151" i="326"/>
  <c r="I8" i="326"/>
  <c r="J8" i="326"/>
  <c r="H138" i="326"/>
  <c r="I138" i="326"/>
  <c r="J138" i="326"/>
  <c r="I163" i="242"/>
  <c r="J163" i="242"/>
  <c r="I160" i="242"/>
  <c r="J160" i="242"/>
  <c r="H117" i="242"/>
  <c r="C75" i="242"/>
  <c r="H110" i="242"/>
  <c r="I110" i="242"/>
  <c r="J110" i="242"/>
  <c r="F117" i="242"/>
  <c r="I76" i="242"/>
  <c r="J76" i="242"/>
  <c r="I103" i="242"/>
  <c r="J103" i="242"/>
  <c r="E110" i="242"/>
  <c r="I154" i="242"/>
  <c r="J154" i="242"/>
  <c r="I157" i="242"/>
  <c r="J157" i="242"/>
  <c r="E75" i="242"/>
  <c r="K75" i="242"/>
  <c r="G75" i="242"/>
  <c r="G110" i="242"/>
  <c r="C117" i="242"/>
  <c r="I135" i="242"/>
  <c r="J135" i="242"/>
  <c r="D117" i="242"/>
  <c r="I69" i="242"/>
  <c r="J69" i="242"/>
  <c r="K110" i="242"/>
  <c r="G117" i="242"/>
  <c r="I117" i="242"/>
  <c r="J117" i="242"/>
  <c r="F110" i="242"/>
  <c r="D75" i="242"/>
  <c r="E117" i="242"/>
  <c r="I130" i="242"/>
  <c r="J130" i="242"/>
  <c r="J45" i="242"/>
  <c r="I111" i="242"/>
  <c r="J111" i="242"/>
  <c r="I63" i="242"/>
  <c r="J63" i="242"/>
  <c r="H75" i="242"/>
  <c r="I118" i="242"/>
  <c r="J118" i="242"/>
  <c r="I99" i="242"/>
  <c r="J99" i="242"/>
  <c r="I27" i="242"/>
  <c r="J27" i="242"/>
  <c r="F75" i="242"/>
  <c r="I38" i="242"/>
  <c r="J38" i="242"/>
  <c r="K128" i="330"/>
  <c r="I214" i="330"/>
  <c r="J214" i="330"/>
  <c r="K148" i="330"/>
  <c r="I118" i="330"/>
  <c r="J118" i="330"/>
  <c r="I24" i="330"/>
  <c r="J24" i="330"/>
  <c r="K34" i="241"/>
  <c r="I108" i="330"/>
  <c r="J108" i="330"/>
  <c r="K30" i="241"/>
  <c r="K29" i="241"/>
  <c r="I92" i="330"/>
  <c r="J92" i="330"/>
  <c r="D11" i="241"/>
  <c r="C21" i="241"/>
  <c r="I226" i="330"/>
  <c r="J226" i="330"/>
  <c r="F22" i="241"/>
  <c r="G9" i="241"/>
  <c r="I9" i="241"/>
  <c r="J9" i="241"/>
  <c r="K197" i="330"/>
  <c r="K6" i="330"/>
  <c r="E75" i="330"/>
  <c r="D99" i="330"/>
  <c r="H7" i="333"/>
  <c r="J117" i="326"/>
  <c r="H7" i="326"/>
  <c r="I75" i="242"/>
  <c r="J75" i="242"/>
  <c r="I53" i="242"/>
  <c r="J53" i="242"/>
  <c r="I114" i="242"/>
  <c r="J114" i="242"/>
  <c r="D36" i="241"/>
  <c r="G7" i="333"/>
  <c r="I53" i="325"/>
  <c r="J53" i="325" s="1"/>
  <c r="C221" i="330"/>
  <c r="I7" i="326"/>
  <c r="J7" i="326"/>
  <c r="G166" i="326"/>
  <c r="F102" i="318"/>
  <c r="A41" i="269"/>
  <c r="A41" i="334"/>
  <c r="I16" i="269"/>
  <c r="J16" i="269"/>
  <c r="J17" i="269"/>
  <c r="B104" i="172"/>
  <c r="I34" i="268"/>
  <c r="J34" i="268"/>
  <c r="J286" i="324"/>
  <c r="D31" i="183"/>
  <c r="E7" i="272"/>
  <c r="D8" i="268"/>
  <c r="D21" i="268"/>
  <c r="D172" i="324"/>
  <c r="G9" i="268"/>
  <c r="I9" i="268"/>
  <c r="J9" i="268"/>
  <c r="I40" i="324"/>
  <c r="J40" i="324"/>
  <c r="I84" i="324"/>
  <c r="J84" i="324"/>
  <c r="H13" i="268"/>
  <c r="I13" i="268"/>
  <c r="J13" i="268"/>
  <c r="K10" i="268"/>
  <c r="K172" i="324"/>
  <c r="C38" i="268"/>
  <c r="J48" i="270"/>
  <c r="G8" i="334"/>
  <c r="I7" i="333"/>
  <c r="J7" i="333"/>
  <c r="E166" i="326"/>
  <c r="I30" i="270"/>
  <c r="J30" i="270"/>
  <c r="J16" i="270"/>
  <c r="I47" i="268"/>
  <c r="J47" i="268" s="1"/>
  <c r="F38" i="334"/>
  <c r="G38" i="334"/>
  <c r="G39" i="334"/>
  <c r="I38" i="268"/>
  <c r="J38" i="268"/>
  <c r="J330" i="324"/>
  <c r="K38" i="270"/>
  <c r="F40" i="267"/>
  <c r="G49" i="174"/>
  <c r="G10" i="174"/>
  <c r="C6" i="272"/>
  <c r="C40" i="267"/>
  <c r="E49" i="174"/>
  <c r="E10" i="174"/>
  <c r="G48" i="241"/>
  <c r="I240" i="330"/>
  <c r="J240" i="330"/>
  <c r="E172" i="324"/>
  <c r="H35" i="272"/>
  <c r="I35" i="272"/>
  <c r="J35" i="272"/>
  <c r="I295" i="323"/>
  <c r="J295" i="323"/>
  <c r="I130" i="333"/>
  <c r="J130" i="333"/>
  <c r="H117" i="333"/>
  <c r="I117" i="333"/>
  <c r="J117" i="333"/>
  <c r="I32" i="268"/>
  <c r="J32" i="268"/>
  <c r="J264" i="324"/>
  <c r="I102" i="318"/>
  <c r="J102" i="318"/>
  <c r="C38" i="270"/>
  <c r="I18" i="324"/>
  <c r="J18" i="324"/>
  <c r="G7" i="268"/>
  <c r="I7" i="268"/>
  <c r="J7" i="268"/>
  <c r="A20" i="268"/>
  <c r="A160" i="323"/>
  <c r="A38" i="272"/>
  <c r="A330" i="324"/>
  <c r="A161" i="324"/>
  <c r="A38" i="268"/>
  <c r="A328" i="323"/>
  <c r="G18" i="334"/>
  <c r="F16" i="334"/>
  <c r="G16" i="334"/>
  <c r="G117" i="335"/>
  <c r="I117" i="335"/>
  <c r="J117" i="335"/>
  <c r="I118" i="335"/>
  <c r="J118" i="335"/>
  <c r="F7" i="333"/>
  <c r="F166" i="333"/>
  <c r="D102" i="318"/>
  <c r="E68" i="318"/>
  <c r="E102" i="318"/>
  <c r="I20" i="270"/>
  <c r="J20" i="270"/>
  <c r="J21" i="270"/>
  <c r="H69" i="270"/>
  <c r="I59" i="270"/>
  <c r="J59" i="270"/>
  <c r="F38" i="267"/>
  <c r="F41" i="178"/>
  <c r="H14" i="272"/>
  <c r="I14" i="272"/>
  <c r="J14" i="272"/>
  <c r="I94" i="323"/>
  <c r="J94" i="323"/>
  <c r="D45" i="174"/>
  <c r="J36" i="267"/>
  <c r="H52" i="174"/>
  <c r="E22" i="241"/>
  <c r="G6" i="268"/>
  <c r="I7" i="324"/>
  <c r="J7" i="324"/>
  <c r="G172" i="324"/>
  <c r="I29" i="324"/>
  <c r="J29" i="324"/>
  <c r="H8" i="268"/>
  <c r="I8" i="268"/>
  <c r="J8" i="268"/>
  <c r="I95" i="324"/>
  <c r="J95" i="324"/>
  <c r="G14" i="268"/>
  <c r="I14" i="268"/>
  <c r="J14" i="268"/>
  <c r="H17" i="268"/>
  <c r="H21" i="268"/>
  <c r="I128" i="324"/>
  <c r="J128" i="324"/>
  <c r="G19" i="268"/>
  <c r="I19" i="268"/>
  <c r="J19" i="268"/>
  <c r="I150" i="324"/>
  <c r="J150" i="324"/>
  <c r="H26" i="268"/>
  <c r="I198" i="324"/>
  <c r="K11" i="241"/>
  <c r="G117" i="333"/>
  <c r="G166" i="333"/>
  <c r="I118" i="333"/>
  <c r="J118" i="333"/>
  <c r="C166" i="326"/>
  <c r="I148" i="242"/>
  <c r="J148" i="242"/>
  <c r="I17" i="268"/>
  <c r="J17" i="268"/>
  <c r="G25" i="268"/>
  <c r="I187" i="324"/>
  <c r="A207" i="323"/>
  <c r="C28" i="334"/>
  <c r="C49" i="334"/>
  <c r="G32" i="334"/>
  <c r="F31" i="334"/>
  <c r="G138" i="242"/>
  <c r="I138" i="242"/>
  <c r="J138" i="242"/>
  <c r="I140" i="242"/>
  <c r="J140" i="242"/>
  <c r="H75" i="326"/>
  <c r="I76" i="326"/>
  <c r="J76" i="326"/>
  <c r="G110" i="326"/>
  <c r="I110" i="326"/>
  <c r="J110" i="326"/>
  <c r="I111" i="326"/>
  <c r="J111" i="326"/>
  <c r="C75" i="333"/>
  <c r="I6" i="323"/>
  <c r="J6" i="323"/>
  <c r="H50" i="267"/>
  <c r="H53" i="172"/>
  <c r="I26" i="175"/>
  <c r="I27" i="175"/>
  <c r="B39" i="267"/>
  <c r="J38" i="267"/>
  <c r="H53" i="174"/>
  <c r="B99" i="100"/>
  <c r="B94" i="100"/>
  <c r="I15" i="268"/>
  <c r="J15" i="268"/>
  <c r="A18" i="268"/>
  <c r="A18" i="272"/>
  <c r="A251" i="323"/>
  <c r="A13" i="272"/>
  <c r="D28" i="334"/>
  <c r="D49" i="334"/>
  <c r="K110" i="325"/>
  <c r="K7" i="335"/>
  <c r="I53" i="333"/>
  <c r="J53" i="333"/>
  <c r="Q342" i="324"/>
  <c r="I104" i="330"/>
  <c r="J104" i="330"/>
  <c r="I13" i="242"/>
  <c r="J13" i="242"/>
  <c r="B3" i="100"/>
  <c r="D2" i="270"/>
  <c r="I6" i="272"/>
  <c r="B98" i="100"/>
  <c r="A176" i="324"/>
  <c r="A28" i="268"/>
  <c r="A13" i="268"/>
  <c r="A84" i="324"/>
  <c r="A7" i="324"/>
  <c r="A138" i="323"/>
  <c r="A50" i="323"/>
  <c r="B77" i="100"/>
  <c r="B93" i="100"/>
  <c r="I83" i="318"/>
  <c r="J83" i="318"/>
  <c r="E31" i="183"/>
  <c r="G52" i="174"/>
  <c r="G13" i="174"/>
  <c r="F26" i="178"/>
  <c r="F43" i="178"/>
  <c r="F54" i="178"/>
  <c r="C38" i="267"/>
  <c r="J44" i="267"/>
  <c r="K21" i="268"/>
  <c r="G34" i="272"/>
  <c r="I34" i="272"/>
  <c r="J34" i="272"/>
  <c r="I284" i="323"/>
  <c r="J284" i="323"/>
  <c r="A35" i="268"/>
  <c r="A35" i="272"/>
  <c r="A297" i="324"/>
  <c r="A14" i="268"/>
  <c r="A24" i="268"/>
  <c r="E28" i="334"/>
  <c r="E49" i="334"/>
  <c r="G46" i="334"/>
  <c r="D7" i="242"/>
  <c r="M340" i="323"/>
  <c r="C110" i="325"/>
  <c r="I114" i="325"/>
  <c r="J114" i="325"/>
  <c r="I8" i="333"/>
  <c r="J8" i="333"/>
  <c r="I140" i="325"/>
  <c r="J140" i="325"/>
  <c r="I135" i="335"/>
  <c r="J135" i="335"/>
  <c r="I53" i="335"/>
  <c r="J53" i="335"/>
  <c r="H166" i="333"/>
  <c r="I166" i="333"/>
  <c r="J166" i="333"/>
  <c r="J6" i="272"/>
  <c r="G31" i="334"/>
  <c r="F47" i="334"/>
  <c r="G47" i="334"/>
  <c r="G39" i="174"/>
  <c r="I75" i="326"/>
  <c r="J75" i="326"/>
  <c r="H166" i="326"/>
  <c r="I25" i="268"/>
  <c r="J187" i="324"/>
  <c r="I172" i="324"/>
  <c r="J172" i="324"/>
  <c r="F28" i="334"/>
  <c r="I26" i="268"/>
  <c r="J26" i="268"/>
  <c r="J198" i="324"/>
  <c r="G21" i="268"/>
  <c r="I6" i="268"/>
  <c r="J25" i="268"/>
  <c r="F49" i="334"/>
  <c r="G49" i="334"/>
  <c r="G28" i="334"/>
  <c r="I166" i="326"/>
  <c r="J166" i="326"/>
  <c r="I21" i="268"/>
  <c r="J21" i="268"/>
  <c r="J6" i="268"/>
  <c r="I48" i="241"/>
  <c r="J48" i="241"/>
  <c r="I45" i="241"/>
  <c r="J45" i="241"/>
  <c r="I19" i="241"/>
  <c r="J19" i="241"/>
  <c r="I23" i="241"/>
  <c r="J23" i="241"/>
  <c r="K221" i="330"/>
  <c r="K16" i="241"/>
  <c r="I42" i="241"/>
  <c r="J42" i="241"/>
  <c r="K39" i="241"/>
  <c r="I7" i="330"/>
  <c r="J7" i="330"/>
  <c r="I7" i="241"/>
  <c r="J7" i="241"/>
  <c r="B4" i="331"/>
  <c r="B8" i="331"/>
  <c r="A1" i="331"/>
  <c r="B47" i="100"/>
  <c r="O2" i="317"/>
  <c r="D2" i="269"/>
  <c r="D2" i="333"/>
  <c r="D2" i="324"/>
  <c r="C2" i="317"/>
  <c r="D2" i="272"/>
  <c r="D2" i="330"/>
  <c r="D2" i="182"/>
  <c r="D2" i="268"/>
  <c r="D2" i="335"/>
  <c r="E2" i="174"/>
  <c r="C2" i="180"/>
  <c r="D2" i="318"/>
  <c r="D2" i="326"/>
  <c r="D2" i="183"/>
  <c r="D2" i="177"/>
  <c r="B4" i="100"/>
  <c r="X38" i="329"/>
  <c r="B12" i="100"/>
  <c r="O3" i="317"/>
  <c r="D2" i="325"/>
  <c r="D2" i="323"/>
  <c r="D2" i="181"/>
  <c r="D2" i="242"/>
  <c r="C2" i="173"/>
  <c r="C77" i="172"/>
  <c r="B2" i="100"/>
  <c r="D2" i="241"/>
  <c r="C2" i="175"/>
  <c r="D2" i="178"/>
  <c r="A53" i="172"/>
  <c r="A104" i="172"/>
  <c r="C2" i="334"/>
  <c r="C2" i="267"/>
  <c r="B13" i="100"/>
  <c r="P3" i="317"/>
  <c r="B2" i="180"/>
  <c r="B2" i="172"/>
  <c r="C2" i="177"/>
  <c r="C2" i="325"/>
  <c r="C2" i="181"/>
  <c r="C2" i="241"/>
  <c r="B2" i="267"/>
  <c r="A15" i="175"/>
  <c r="C2" i="324"/>
  <c r="C2" i="269"/>
  <c r="C2" i="268"/>
  <c r="C2" i="242"/>
  <c r="C3" i="334"/>
  <c r="C2" i="323"/>
  <c r="C2" i="330"/>
  <c r="C2" i="318"/>
  <c r="C2" i="183"/>
  <c r="C2" i="178"/>
  <c r="C2" i="182"/>
  <c r="C2" i="272"/>
  <c r="C2" i="333"/>
  <c r="C2" i="326"/>
  <c r="D2" i="174"/>
  <c r="C2" i="335"/>
  <c r="A54" i="172"/>
  <c r="A103" i="172"/>
  <c r="B77" i="172"/>
  <c r="C2" i="270"/>
  <c r="B102" i="100"/>
  <c r="A1" i="172"/>
  <c r="B103" i="100"/>
  <c r="A26" i="172"/>
  <c r="D7" i="335"/>
  <c r="D166" i="335"/>
  <c r="D75" i="333"/>
  <c r="D166" i="333"/>
  <c r="E7" i="333"/>
  <c r="E166" i="333"/>
  <c r="D166" i="325"/>
  <c r="D166" i="242"/>
  <c r="D49" i="318"/>
  <c r="E49" i="269"/>
  <c r="D49" i="269"/>
  <c r="D71" i="270"/>
  <c r="F49" i="174"/>
  <c r="F10" i="174" s="1"/>
  <c r="D41" i="178"/>
  <c r="E13" i="174"/>
  <c r="C36" i="267"/>
  <c r="D26" i="178"/>
  <c r="C33" i="267"/>
  <c r="D74" i="268"/>
  <c r="D63" i="268"/>
  <c r="D38" i="181"/>
  <c r="D42" i="181"/>
  <c r="D44" i="181"/>
  <c r="E7" i="174"/>
  <c r="D38" i="182"/>
  <c r="D42" i="182"/>
  <c r="D44" i="182"/>
  <c r="D46" i="182"/>
  <c r="D48" i="182"/>
  <c r="H45" i="174"/>
  <c r="H7" i="174"/>
  <c r="C18" i="267"/>
  <c r="C19" i="267"/>
  <c r="C11" i="267"/>
  <c r="E38" i="182"/>
  <c r="E42" i="182" s="1"/>
  <c r="E44" i="182" s="1"/>
  <c r="E46" i="182" s="1"/>
  <c r="E48" i="182" s="1"/>
  <c r="E26" i="174"/>
  <c r="E27" i="174"/>
  <c r="E17" i="174"/>
  <c r="E28" i="174"/>
  <c r="D53" i="182"/>
  <c r="D339" i="323"/>
  <c r="D341" i="323"/>
  <c r="D171" i="323"/>
  <c r="D6" i="272"/>
  <c r="D21" i="272"/>
  <c r="D43" i="241"/>
  <c r="D221" i="330"/>
  <c r="D39" i="241"/>
  <c r="D197" i="330"/>
  <c r="E35" i="241"/>
  <c r="D33" i="241"/>
  <c r="D148" i="330"/>
  <c r="D30" i="241"/>
  <c r="D16" i="241"/>
  <c r="E16" i="241"/>
  <c r="D75" i="330"/>
  <c r="E10" i="241"/>
  <c r="D26" i="330"/>
  <c r="D10" i="241"/>
  <c r="E26" i="330"/>
  <c r="D6" i="330"/>
  <c r="A32" i="272"/>
  <c r="A264" i="324"/>
  <c r="A83" i="323"/>
  <c r="A39" i="323"/>
  <c r="A209" i="324"/>
  <c r="A27" i="272"/>
  <c r="A9" i="272"/>
  <c r="A40" i="324"/>
  <c r="A8" i="268"/>
  <c r="A8" i="272"/>
  <c r="A196" i="323"/>
  <c r="A6" i="272"/>
  <c r="A6" i="268"/>
  <c r="D104" i="318"/>
  <c r="D43" i="178"/>
  <c r="D54" i="178"/>
  <c r="E39" i="174"/>
  <c r="C20" i="267"/>
  <c r="C23" i="267"/>
  <c r="C25" i="267"/>
  <c r="D125" i="330"/>
  <c r="D256" i="330"/>
  <c r="K166" i="335"/>
  <c r="K171" i="242"/>
  <c r="K75" i="333"/>
  <c r="K166" i="333"/>
  <c r="K7" i="325"/>
  <c r="K166" i="325"/>
  <c r="K38" i="181"/>
  <c r="K42" i="181"/>
  <c r="K44" i="181"/>
  <c r="K104" i="318"/>
  <c r="K106" i="318"/>
  <c r="J43" i="267"/>
  <c r="H14" i="174"/>
  <c r="H13" i="174"/>
  <c r="H39" i="174"/>
  <c r="G43" i="178"/>
  <c r="G54" i="178"/>
  <c r="J37" i="267"/>
  <c r="K341" i="324"/>
  <c r="K343" i="324"/>
  <c r="K39" i="268"/>
  <c r="K40" i="268"/>
  <c r="H46" i="174"/>
  <c r="H8" i="174"/>
  <c r="K63" i="268"/>
  <c r="J19" i="267"/>
  <c r="K38" i="182"/>
  <c r="K42" i="182"/>
  <c r="K44" i="182"/>
  <c r="K46" i="182"/>
  <c r="K48" i="182"/>
  <c r="H55" i="174"/>
  <c r="J11" i="267"/>
  <c r="J20" i="267"/>
  <c r="J23" i="267"/>
  <c r="J25" i="267"/>
  <c r="K39" i="272"/>
  <c r="K339" i="323"/>
  <c r="K171" i="323"/>
  <c r="K21" i="272"/>
  <c r="K43" i="241"/>
  <c r="K33" i="241"/>
  <c r="K49" i="241"/>
  <c r="K247" i="330"/>
  <c r="K257" i="330"/>
  <c r="K99" i="330"/>
  <c r="K26" i="330"/>
  <c r="K14" i="241"/>
  <c r="K10" i="241"/>
  <c r="K26" i="241"/>
  <c r="K125" i="330"/>
  <c r="K171" i="335"/>
  <c r="K86" i="268"/>
  <c r="J28" i="267"/>
  <c r="K171" i="326"/>
  <c r="H28" i="174"/>
  <c r="H27" i="174"/>
  <c r="H17" i="174"/>
  <c r="H26" i="174"/>
  <c r="K341" i="323"/>
  <c r="K40" i="272"/>
  <c r="K50" i="241"/>
  <c r="K248" i="330"/>
  <c r="K256" i="330"/>
  <c r="D31" i="268"/>
  <c r="D39" i="268"/>
  <c r="D40" i="268"/>
  <c r="D171" i="326"/>
  <c r="C28" i="267"/>
  <c r="D171" i="242"/>
  <c r="E46" i="174"/>
  <c r="E8" i="174"/>
  <c r="D171" i="335"/>
  <c r="D86" i="268"/>
  <c r="H74" i="268"/>
  <c r="J9" i="269"/>
  <c r="C166" i="242"/>
  <c r="I52" i="317"/>
  <c r="H10" i="180"/>
  <c r="H7" i="180"/>
  <c r="I7" i="180"/>
  <c r="J7" i="180"/>
  <c r="B30" i="172"/>
  <c r="C166" i="333"/>
  <c r="C7" i="325"/>
  <c r="C166" i="325"/>
  <c r="K47" i="318"/>
  <c r="C106" i="318"/>
  <c r="D31" i="318"/>
  <c r="K31" i="318"/>
  <c r="K15" i="318"/>
  <c r="C49" i="318"/>
  <c r="D15" i="318"/>
  <c r="C71" i="270"/>
  <c r="D7" i="174"/>
  <c r="D49" i="174"/>
  <c r="D10" i="174"/>
  <c r="C41" i="178"/>
  <c r="D14" i="174"/>
  <c r="D13" i="174"/>
  <c r="C26" i="178"/>
  <c r="C43" i="178"/>
  <c r="C54" i="178"/>
  <c r="D17" i="174"/>
  <c r="D39" i="174"/>
  <c r="C39" i="268"/>
  <c r="C40" i="268"/>
  <c r="C341" i="324"/>
  <c r="C343" i="324"/>
  <c r="B18" i="267"/>
  <c r="B19" i="267"/>
  <c r="C53" i="182"/>
  <c r="D26" i="174"/>
  <c r="B11" i="267"/>
  <c r="D28" i="174"/>
  <c r="D27" i="174"/>
  <c r="C197" i="330"/>
  <c r="C148" i="330"/>
  <c r="C33" i="241"/>
  <c r="C39" i="272"/>
  <c r="C339" i="323"/>
  <c r="C21" i="272"/>
  <c r="C171" i="323"/>
  <c r="C29" i="241"/>
  <c r="C49" i="241"/>
  <c r="C128" i="330"/>
  <c r="C16" i="241"/>
  <c r="C75" i="330"/>
  <c r="C26" i="330"/>
  <c r="C10" i="241"/>
  <c r="C6" i="330"/>
  <c r="C7" i="241"/>
  <c r="C6" i="241"/>
  <c r="H49" i="269"/>
  <c r="G45" i="267"/>
  <c r="D39" i="177"/>
  <c r="D41" i="177"/>
  <c r="C46" i="267"/>
  <c r="G8" i="180"/>
  <c r="G9" i="180"/>
  <c r="C31" i="172"/>
  <c r="H6" i="180"/>
  <c r="I6" i="180"/>
  <c r="Q54" i="317"/>
  <c r="P52" i="317"/>
  <c r="P54" i="317"/>
  <c r="P66" i="317"/>
  <c r="O52" i="317"/>
  <c r="O54" i="317"/>
  <c r="M54" i="317"/>
  <c r="M66" i="317"/>
  <c r="L54" i="317"/>
  <c r="L66" i="317"/>
  <c r="C54" i="317"/>
  <c r="C56" i="317"/>
  <c r="D55" i="317"/>
  <c r="K52" i="317"/>
  <c r="J54" i="317"/>
  <c r="J66" i="317"/>
  <c r="J12" i="180"/>
  <c r="J17" i="180"/>
  <c r="C171" i="326"/>
  <c r="C171" i="335"/>
  <c r="C104" i="318"/>
  <c r="D50" i="318"/>
  <c r="K50" i="318"/>
  <c r="D46" i="174"/>
  <c r="D8" i="174"/>
  <c r="C171" i="242"/>
  <c r="B28" i="267"/>
  <c r="B20" i="267"/>
  <c r="B23" i="267"/>
  <c r="B25" i="267"/>
  <c r="C247" i="330"/>
  <c r="C257" i="330"/>
  <c r="C40" i="272"/>
  <c r="C341" i="323"/>
  <c r="C125" i="330"/>
  <c r="C256" i="330"/>
  <c r="C26" i="241"/>
  <c r="C50" i="241"/>
  <c r="C30" i="172"/>
  <c r="G10" i="180"/>
  <c r="C32" i="172"/>
  <c r="G11" i="180"/>
  <c r="O66" i="317"/>
  <c r="O56" i="317"/>
  <c r="P55" i="317"/>
  <c r="P56" i="317"/>
  <c r="Q55" i="317"/>
  <c r="Q56" i="317"/>
  <c r="K105" i="318"/>
  <c r="D105" i="318"/>
  <c r="C248" i="330"/>
  <c r="G12" i="180"/>
  <c r="C33" i="172"/>
  <c r="C34" i="172"/>
  <c r="G13" i="180"/>
  <c r="G14" i="180"/>
  <c r="C35" i="172"/>
  <c r="G15" i="180"/>
  <c r="C36" i="172"/>
  <c r="C37" i="172"/>
  <c r="G16" i="180"/>
  <c r="G17" i="180"/>
  <c r="C39" i="172"/>
  <c r="C38" i="172"/>
  <c r="H52" i="317" l="1"/>
  <c r="H54" i="317" s="1"/>
  <c r="H66" i="317" s="1"/>
  <c r="I17" i="335"/>
  <c r="J17" i="335" s="1"/>
  <c r="H31" i="267"/>
  <c r="I31" i="267" s="1"/>
  <c r="H32" i="267"/>
  <c r="I32" i="267" s="1"/>
  <c r="C26" i="175"/>
  <c r="C27" i="175" s="1"/>
  <c r="I8" i="270"/>
  <c r="J8" i="270" s="1"/>
  <c r="H21" i="267"/>
  <c r="I21" i="267" s="1"/>
  <c r="I151" i="325"/>
  <c r="J151" i="325" s="1"/>
  <c r="I148" i="325"/>
  <c r="J148" i="325" s="1"/>
  <c r="F63" i="268"/>
  <c r="I196" i="323"/>
  <c r="J196" i="323" s="1"/>
  <c r="I100" i="330"/>
  <c r="J100" i="330" s="1"/>
  <c r="G8" i="241"/>
  <c r="G6" i="241" s="1"/>
  <c r="I6" i="241" s="1"/>
  <c r="J6" i="241" s="1"/>
  <c r="H39" i="268"/>
  <c r="H40" i="268" s="1"/>
  <c r="H341" i="324"/>
  <c r="H343" i="324" s="1"/>
  <c r="G33" i="267"/>
  <c r="I57" i="268"/>
  <c r="J57" i="268" s="1"/>
  <c r="I8" i="242"/>
  <c r="J8" i="242" s="1"/>
  <c r="H7" i="335"/>
  <c r="H166" i="335" s="1"/>
  <c r="F7" i="335"/>
  <c r="F166" i="335" s="1"/>
  <c r="F7" i="242"/>
  <c r="F166" i="242" s="1"/>
  <c r="G7" i="242"/>
  <c r="G166" i="242" s="1"/>
  <c r="I166" i="242" s="1"/>
  <c r="J166" i="242" s="1"/>
  <c r="G7" i="335"/>
  <c r="I7" i="335" s="1"/>
  <c r="J7" i="335" s="1"/>
  <c r="G138" i="335"/>
  <c r="E7" i="335"/>
  <c r="E166" i="335" s="1"/>
  <c r="E12" i="272"/>
  <c r="E21" i="272" s="1"/>
  <c r="G54" i="317"/>
  <c r="G66" i="317" s="1"/>
  <c r="C53" i="172"/>
  <c r="B50" i="267"/>
  <c r="B61" i="100"/>
  <c r="A1" i="324"/>
  <c r="A1" i="177"/>
  <c r="D64" i="100"/>
  <c r="A1" i="267"/>
  <c r="A1" i="323"/>
  <c r="A1" i="330"/>
  <c r="A1" i="182"/>
  <c r="A1" i="268"/>
  <c r="A1" i="251"/>
  <c r="A1" i="272"/>
  <c r="A1" i="178"/>
  <c r="E166" i="242"/>
  <c r="I218" i="323"/>
  <c r="J218" i="323" s="1"/>
  <c r="I186" i="330"/>
  <c r="J186" i="330" s="1"/>
  <c r="I21" i="241"/>
  <c r="J21" i="241" s="1"/>
  <c r="I26" i="272"/>
  <c r="J26" i="272" s="1"/>
  <c r="I185" i="323"/>
  <c r="J185" i="323" s="1"/>
  <c r="H9" i="272"/>
  <c r="I9" i="272" s="1"/>
  <c r="J9" i="272" s="1"/>
  <c r="H12" i="267"/>
  <c r="I12" i="267" s="1"/>
  <c r="H7" i="267"/>
  <c r="I7" i="267" s="1"/>
  <c r="I154" i="325"/>
  <c r="J154" i="325" s="1"/>
  <c r="E47" i="318"/>
  <c r="E49" i="318"/>
  <c r="E39" i="177"/>
  <c r="E41" i="177" s="1"/>
  <c r="D46" i="267" s="1"/>
  <c r="F39" i="174"/>
  <c r="D36" i="267"/>
  <c r="E341" i="324"/>
  <c r="E343" i="324" s="1"/>
  <c r="E39" i="268"/>
  <c r="E40" i="268" s="1"/>
  <c r="D28" i="267" s="1"/>
  <c r="E63" i="268"/>
  <c r="D19" i="267"/>
  <c r="D20" i="267" s="1"/>
  <c r="D23" i="267" s="1"/>
  <c r="D25" i="267" s="1"/>
  <c r="F55" i="174"/>
  <c r="F17" i="174" s="1"/>
  <c r="E339" i="323"/>
  <c r="E341" i="323" s="1"/>
  <c r="E25" i="272"/>
  <c r="E39" i="272" s="1"/>
  <c r="E221" i="330"/>
  <c r="E43" i="241"/>
  <c r="E39" i="241"/>
  <c r="E197" i="330"/>
  <c r="E33" i="241"/>
  <c r="E148" i="330"/>
  <c r="E29" i="241"/>
  <c r="E128" i="330"/>
  <c r="E26" i="241"/>
  <c r="F38" i="181"/>
  <c r="F42" i="181" s="1"/>
  <c r="F44" i="181" s="1"/>
  <c r="J32" i="269"/>
  <c r="I69" i="270"/>
  <c r="J41" i="270"/>
  <c r="J42" i="270"/>
  <c r="G71" i="270"/>
  <c r="F71" i="270"/>
  <c r="I10" i="180"/>
  <c r="B32" i="172"/>
  <c r="H14" i="180"/>
  <c r="J10" i="180"/>
  <c r="I253" i="324"/>
  <c r="I31" i="268" s="1"/>
  <c r="J31" i="268" s="1"/>
  <c r="G39" i="268"/>
  <c r="G40" i="268" s="1"/>
  <c r="I189" i="330"/>
  <c r="J189" i="330" s="1"/>
  <c r="I38" i="241"/>
  <c r="J38" i="241" s="1"/>
  <c r="I146" i="330"/>
  <c r="J146" i="330" s="1"/>
  <c r="H9" i="267"/>
  <c r="I9" i="267" s="1"/>
  <c r="H15" i="267"/>
  <c r="I15" i="267" s="1"/>
  <c r="I28" i="323"/>
  <c r="J28" i="323" s="1"/>
  <c r="I47" i="241"/>
  <c r="J47" i="241" s="1"/>
  <c r="I129" i="330"/>
  <c r="J129" i="330" s="1"/>
  <c r="F54" i="317"/>
  <c r="F66" i="317" s="1"/>
  <c r="F65" i="317"/>
  <c r="I240" i="323"/>
  <c r="J240" i="323" s="1"/>
  <c r="I29" i="272"/>
  <c r="J29" i="272" s="1"/>
  <c r="I207" i="323"/>
  <c r="J207" i="323" s="1"/>
  <c r="I61" i="323"/>
  <c r="J61" i="323" s="1"/>
  <c r="H221" i="330"/>
  <c r="I235" i="330"/>
  <c r="J235" i="330" s="1"/>
  <c r="H44" i="241"/>
  <c r="H43" i="241" s="1"/>
  <c r="I177" i="330"/>
  <c r="J177" i="330" s="1"/>
  <c r="H128" i="330"/>
  <c r="I30" i="241"/>
  <c r="J30" i="241" s="1"/>
  <c r="H20" i="241"/>
  <c r="I49" i="330"/>
  <c r="J49" i="330" s="1"/>
  <c r="H6" i="330"/>
  <c r="I6" i="330" s="1"/>
  <c r="J6" i="330" s="1"/>
  <c r="L14" i="175"/>
  <c r="F53" i="172"/>
  <c r="G26" i="175"/>
  <c r="G27" i="175" s="1"/>
  <c r="D53" i="172"/>
  <c r="E26" i="175"/>
  <c r="E27" i="175" s="1"/>
  <c r="K14" i="175"/>
  <c r="J50" i="267" s="1"/>
  <c r="E53" i="172"/>
  <c r="F26" i="175"/>
  <c r="F27" i="175" s="1"/>
  <c r="D26" i="175"/>
  <c r="D27" i="175" s="1"/>
  <c r="L21" i="175"/>
  <c r="K21" i="175"/>
  <c r="I30" i="318"/>
  <c r="J30" i="318" s="1"/>
  <c r="H106" i="318"/>
  <c r="F39" i="268"/>
  <c r="F40" i="268" s="1"/>
  <c r="G341" i="324"/>
  <c r="I242" i="324"/>
  <c r="F341" i="324"/>
  <c r="F343" i="324" s="1"/>
  <c r="I83" i="323"/>
  <c r="J83" i="323" s="1"/>
  <c r="I8" i="272"/>
  <c r="J8" i="272" s="1"/>
  <c r="I31" i="272"/>
  <c r="J31" i="272" s="1"/>
  <c r="I30" i="272"/>
  <c r="J30" i="272" s="1"/>
  <c r="I28" i="272"/>
  <c r="J28" i="272" s="1"/>
  <c r="I27" i="272"/>
  <c r="J27" i="272" s="1"/>
  <c r="H39" i="272"/>
  <c r="H339" i="323"/>
  <c r="I174" i="323"/>
  <c r="J174" i="323" s="1"/>
  <c r="H171" i="323"/>
  <c r="I12" i="272"/>
  <c r="J12" i="272" s="1"/>
  <c r="I11" i="272"/>
  <c r="J11" i="272" s="1"/>
  <c r="I10" i="272"/>
  <c r="J10" i="272" s="1"/>
  <c r="I7" i="272"/>
  <c r="J7" i="272" s="1"/>
  <c r="H99" i="330"/>
  <c r="H26" i="330"/>
  <c r="I46" i="241"/>
  <c r="J46" i="241" s="1"/>
  <c r="I222" i="330"/>
  <c r="J222" i="330" s="1"/>
  <c r="I41" i="241"/>
  <c r="J41" i="241" s="1"/>
  <c r="H39" i="241"/>
  <c r="H197" i="330"/>
  <c r="I198" i="330"/>
  <c r="J198" i="330" s="1"/>
  <c r="I36" i="241"/>
  <c r="J36" i="241" s="1"/>
  <c r="H148" i="330"/>
  <c r="H33" i="241"/>
  <c r="I32" i="241"/>
  <c r="J32" i="241" s="1"/>
  <c r="H31" i="241"/>
  <c r="H29" i="241" s="1"/>
  <c r="I113" i="330"/>
  <c r="J113" i="330" s="1"/>
  <c r="H75" i="330"/>
  <c r="I76" i="330"/>
  <c r="J76" i="330" s="1"/>
  <c r="H16" i="241"/>
  <c r="I15" i="241"/>
  <c r="J15" i="241" s="1"/>
  <c r="I14" i="241"/>
  <c r="J14" i="241" s="1"/>
  <c r="I13" i="241"/>
  <c r="J13" i="241" s="1"/>
  <c r="H12" i="241"/>
  <c r="H10" i="241" s="1"/>
  <c r="G18" i="267"/>
  <c r="G19" i="267" s="1"/>
  <c r="G11" i="267"/>
  <c r="H10" i="267"/>
  <c r="I10" i="267" s="1"/>
  <c r="I22" i="181"/>
  <c r="J22" i="181" s="1"/>
  <c r="I36" i="181"/>
  <c r="J36" i="181" s="1"/>
  <c r="H49" i="318"/>
  <c r="H104" i="318" s="1"/>
  <c r="H29" i="267"/>
  <c r="I29" i="267" s="1"/>
  <c r="F33" i="267"/>
  <c r="I70" i="268"/>
  <c r="J70" i="268" s="1"/>
  <c r="G74" i="268"/>
  <c r="I74" i="268" s="1"/>
  <c r="J74" i="268" s="1"/>
  <c r="G63" i="268"/>
  <c r="I8" i="269"/>
  <c r="J8" i="269" s="1"/>
  <c r="I157" i="325"/>
  <c r="J157" i="325" s="1"/>
  <c r="I118" i="325"/>
  <c r="J118" i="325" s="1"/>
  <c r="I17" i="325"/>
  <c r="J17" i="325" s="1"/>
  <c r="I8" i="325"/>
  <c r="J8" i="325" s="1"/>
  <c r="J14" i="180"/>
  <c r="I16" i="180"/>
  <c r="I9" i="180"/>
  <c r="H16" i="180"/>
  <c r="B36" i="172"/>
  <c r="J16" i="180"/>
  <c r="G38" i="181"/>
  <c r="G42" i="181" s="1"/>
  <c r="G44" i="181" s="1"/>
  <c r="I44" i="181" s="1"/>
  <c r="J44" i="181" s="1"/>
  <c r="E18" i="267"/>
  <c r="E19" i="267" s="1"/>
  <c r="I229" i="323"/>
  <c r="J229" i="323" s="1"/>
  <c r="I251" i="323"/>
  <c r="J251" i="323" s="1"/>
  <c r="G25" i="272"/>
  <c r="I25" i="272" s="1"/>
  <c r="J25" i="272" s="1"/>
  <c r="G24" i="272"/>
  <c r="G39" i="272" s="1"/>
  <c r="G17" i="241"/>
  <c r="I17" i="241" s="1"/>
  <c r="J17" i="241" s="1"/>
  <c r="F197" i="330"/>
  <c r="I209" i="330"/>
  <c r="J209" i="330" s="1"/>
  <c r="I149" i="330"/>
  <c r="J149" i="330" s="1"/>
  <c r="I132" i="330"/>
  <c r="J132" i="330" s="1"/>
  <c r="G128" i="330"/>
  <c r="G24" i="241"/>
  <c r="I24" i="241" s="1"/>
  <c r="J24" i="241" s="1"/>
  <c r="G99" i="330"/>
  <c r="I10" i="330"/>
  <c r="J10" i="330" s="1"/>
  <c r="F8" i="241"/>
  <c r="F6" i="241" s="1"/>
  <c r="F39" i="177"/>
  <c r="C39" i="177"/>
  <c r="C41" i="177" s="1"/>
  <c r="B46" i="267" s="1"/>
  <c r="E43" i="267"/>
  <c r="H45" i="267"/>
  <c r="I45" i="267" s="1"/>
  <c r="I37" i="177"/>
  <c r="J37" i="177" s="1"/>
  <c r="H44" i="267"/>
  <c r="I44" i="267" s="1"/>
  <c r="I18" i="177"/>
  <c r="J18" i="177" s="1"/>
  <c r="G39" i="177"/>
  <c r="G41" i="177" s="1"/>
  <c r="F46" i="267" s="1"/>
  <c r="H43" i="267"/>
  <c r="I43" i="267" s="1"/>
  <c r="I28" i="177"/>
  <c r="J28" i="177" s="1"/>
  <c r="H39" i="177"/>
  <c r="H41" i="177" s="1"/>
  <c r="G46" i="267" s="1"/>
  <c r="N21" i="317"/>
  <c r="N33" i="317" s="1"/>
  <c r="N46" i="317"/>
  <c r="N52" i="317" s="1"/>
  <c r="E52" i="317"/>
  <c r="E54" i="317" s="1"/>
  <c r="E66" i="317" s="1"/>
  <c r="F49" i="318"/>
  <c r="F104" i="318" s="1"/>
  <c r="G106" i="318"/>
  <c r="E6" i="330"/>
  <c r="E125" i="330" s="1"/>
  <c r="D257" i="330"/>
  <c r="D248" i="330"/>
  <c r="D31" i="241"/>
  <c r="D29" i="241" s="1"/>
  <c r="D49" i="241" s="1"/>
  <c r="D50" i="241" s="1"/>
  <c r="H38" i="182"/>
  <c r="H42" i="182" s="1"/>
  <c r="H44" i="182" s="1"/>
  <c r="H46" i="182" s="1"/>
  <c r="H48" i="182" s="1"/>
  <c r="G49" i="318"/>
  <c r="G104" i="318" s="1"/>
  <c r="H117" i="325"/>
  <c r="I117" i="325" s="1"/>
  <c r="J117" i="325" s="1"/>
  <c r="I13" i="325"/>
  <c r="J13" i="325" s="1"/>
  <c r="H7" i="325"/>
  <c r="H16" i="267"/>
  <c r="I16" i="267" s="1"/>
  <c r="H17" i="267"/>
  <c r="I17" i="267" s="1"/>
  <c r="H6" i="267"/>
  <c r="I6" i="267" s="1"/>
  <c r="F7" i="325"/>
  <c r="F166" i="325" s="1"/>
  <c r="G7" i="325"/>
  <c r="I17" i="242"/>
  <c r="J17" i="242" s="1"/>
  <c r="I7" i="242"/>
  <c r="J7" i="242" s="1"/>
  <c r="E33" i="267"/>
  <c r="F74" i="268"/>
  <c r="I53" i="268"/>
  <c r="J31" i="269"/>
  <c r="I47" i="269"/>
  <c r="J47" i="269" s="1"/>
  <c r="F49" i="269"/>
  <c r="G49" i="269"/>
  <c r="J13" i="269"/>
  <c r="H9" i="180"/>
  <c r="I11" i="180"/>
  <c r="J13" i="180"/>
  <c r="I13" i="180"/>
  <c r="H11" i="180"/>
  <c r="H15" i="180"/>
  <c r="B35" i="172"/>
  <c r="J9" i="180"/>
  <c r="B34" i="172"/>
  <c r="J15" i="180"/>
  <c r="H8" i="180"/>
  <c r="I8" i="180" s="1"/>
  <c r="I46" i="318"/>
  <c r="F106" i="318"/>
  <c r="F38" i="182"/>
  <c r="F42" i="182" s="1"/>
  <c r="F44" i="182" s="1"/>
  <c r="F46" i="182" s="1"/>
  <c r="F48" i="182" s="1"/>
  <c r="F18" i="267"/>
  <c r="G45" i="174"/>
  <c r="G7" i="174" s="1"/>
  <c r="F53" i="182"/>
  <c r="G17" i="174"/>
  <c r="G28" i="174"/>
  <c r="G26" i="174"/>
  <c r="G53" i="182"/>
  <c r="E11" i="267"/>
  <c r="I22" i="182"/>
  <c r="G38" i="182"/>
  <c r="G42" i="182" s="1"/>
  <c r="G44" i="182" s="1"/>
  <c r="G46" i="182" s="1"/>
  <c r="G48" i="182" s="1"/>
  <c r="G27" i="174"/>
  <c r="F11" i="267"/>
  <c r="I72" i="323"/>
  <c r="J72" i="323" s="1"/>
  <c r="I50" i="323"/>
  <c r="J50" i="323" s="1"/>
  <c r="I17" i="323"/>
  <c r="J17" i="323" s="1"/>
  <c r="G339" i="323"/>
  <c r="F339" i="323"/>
  <c r="F39" i="272"/>
  <c r="F21" i="272"/>
  <c r="F171" i="323"/>
  <c r="G13" i="272"/>
  <c r="G171" i="323"/>
  <c r="I230" i="330"/>
  <c r="J230" i="330" s="1"/>
  <c r="G221" i="330"/>
  <c r="F43" i="241"/>
  <c r="F221" i="330"/>
  <c r="G44" i="241"/>
  <c r="G197" i="330"/>
  <c r="F40" i="241"/>
  <c r="F39" i="241" s="1"/>
  <c r="G40" i="241"/>
  <c r="G37" i="241"/>
  <c r="I37" i="241" s="1"/>
  <c r="J37" i="241" s="1"/>
  <c r="G148" i="330"/>
  <c r="I171" i="330"/>
  <c r="J171" i="330" s="1"/>
  <c r="G35" i="241"/>
  <c r="I35" i="241" s="1"/>
  <c r="J35" i="241" s="1"/>
  <c r="F33" i="241"/>
  <c r="F148" i="330"/>
  <c r="I34" i="241"/>
  <c r="J34" i="241" s="1"/>
  <c r="F128" i="330"/>
  <c r="F29" i="241"/>
  <c r="G29" i="241"/>
  <c r="F99" i="330"/>
  <c r="I87" i="330"/>
  <c r="J87" i="330" s="1"/>
  <c r="G75" i="330"/>
  <c r="I67" i="330"/>
  <c r="J67" i="330" s="1"/>
  <c r="I55" i="330"/>
  <c r="J55" i="330" s="1"/>
  <c r="F20" i="241"/>
  <c r="I18" i="241"/>
  <c r="J18" i="241" s="1"/>
  <c r="F16" i="241"/>
  <c r="F75" i="330"/>
  <c r="I64" i="330"/>
  <c r="J64" i="330" s="1"/>
  <c r="F26" i="330"/>
  <c r="F10" i="241"/>
  <c r="G10" i="241"/>
  <c r="I11" i="241"/>
  <c r="J11" i="241" s="1"/>
  <c r="G26" i="330"/>
  <c r="I27" i="330"/>
  <c r="J27" i="330" s="1"/>
  <c r="H171" i="326" l="1"/>
  <c r="H171" i="335"/>
  <c r="H86" i="268"/>
  <c r="G28" i="267"/>
  <c r="H171" i="242"/>
  <c r="H33" i="267"/>
  <c r="I33" i="267" s="1"/>
  <c r="I38" i="270"/>
  <c r="J38" i="270" s="1"/>
  <c r="H26" i="241"/>
  <c r="H21" i="272"/>
  <c r="H40" i="272" s="1"/>
  <c r="I8" i="241"/>
  <c r="J8" i="241" s="1"/>
  <c r="F171" i="242"/>
  <c r="I138" i="335"/>
  <c r="J138" i="335" s="1"/>
  <c r="G166" i="335"/>
  <c r="I166" i="335" s="1"/>
  <c r="J166" i="335" s="1"/>
  <c r="E40" i="272"/>
  <c r="A1" i="325"/>
  <c r="A1" i="175"/>
  <c r="A1" i="238"/>
  <c r="A1" i="318"/>
  <c r="A1" i="174"/>
  <c r="A1" i="326"/>
  <c r="A1" i="181"/>
  <c r="A1" i="242"/>
  <c r="A1" i="335"/>
  <c r="A1" i="333"/>
  <c r="A1" i="269"/>
  <c r="A1" i="180"/>
  <c r="A1" i="183"/>
  <c r="A1" i="270"/>
  <c r="A1" i="173"/>
  <c r="A1" i="334"/>
  <c r="A1" i="317"/>
  <c r="I128" i="330"/>
  <c r="J128" i="330" s="1"/>
  <c r="H18" i="267"/>
  <c r="I18" i="267" s="1"/>
  <c r="E50" i="318"/>
  <c r="E104" i="318"/>
  <c r="E105" i="318" s="1"/>
  <c r="F46" i="174"/>
  <c r="F8" i="174" s="1"/>
  <c r="E171" i="326"/>
  <c r="E171" i="242"/>
  <c r="E86" i="268"/>
  <c r="E171" i="335"/>
  <c r="F26" i="174"/>
  <c r="F27" i="174"/>
  <c r="F28" i="174"/>
  <c r="E49" i="241"/>
  <c r="E50" i="241" s="1"/>
  <c r="E247" i="330"/>
  <c r="E257" i="330" s="1"/>
  <c r="I38" i="181"/>
  <c r="J38" i="181" s="1"/>
  <c r="I42" i="181"/>
  <c r="J42" i="181" s="1"/>
  <c r="I28" i="269"/>
  <c r="J28" i="269" s="1"/>
  <c r="J69" i="270"/>
  <c r="F171" i="326"/>
  <c r="E28" i="267"/>
  <c r="F171" i="335"/>
  <c r="F28" i="267"/>
  <c r="F86" i="268"/>
  <c r="J253" i="324"/>
  <c r="G46" i="174"/>
  <c r="G8" i="174" s="1"/>
  <c r="G86" i="268"/>
  <c r="I24" i="272"/>
  <c r="I39" i="272" s="1"/>
  <c r="J39" i="272" s="1"/>
  <c r="H247" i="330"/>
  <c r="H257" i="330" s="1"/>
  <c r="I99" i="330"/>
  <c r="J99" i="330" s="1"/>
  <c r="K26" i="175"/>
  <c r="K27" i="175" s="1"/>
  <c r="G343" i="324"/>
  <c r="I343" i="324" s="1"/>
  <c r="J343" i="324" s="1"/>
  <c r="I341" i="324"/>
  <c r="J341" i="324" s="1"/>
  <c r="J242" i="324"/>
  <c r="I30" i="268"/>
  <c r="I339" i="323"/>
  <c r="J339" i="323" s="1"/>
  <c r="H341" i="323"/>
  <c r="H125" i="330"/>
  <c r="I26" i="330"/>
  <c r="J26" i="330" s="1"/>
  <c r="I12" i="241"/>
  <c r="J12" i="241" s="1"/>
  <c r="I197" i="330"/>
  <c r="J197" i="330" s="1"/>
  <c r="H49" i="241"/>
  <c r="I148" i="330"/>
  <c r="J148" i="330" s="1"/>
  <c r="I31" i="241"/>
  <c r="J31" i="241" s="1"/>
  <c r="I75" i="330"/>
  <c r="J75" i="330" s="1"/>
  <c r="I10" i="241"/>
  <c r="J10" i="241" s="1"/>
  <c r="G20" i="267"/>
  <c r="G23" i="267" s="1"/>
  <c r="G25" i="267" s="1"/>
  <c r="I104" i="318"/>
  <c r="J104" i="318" s="1"/>
  <c r="H166" i="325"/>
  <c r="E20" i="267"/>
  <c r="E23" i="267" s="1"/>
  <c r="E25" i="267" s="1"/>
  <c r="G341" i="323"/>
  <c r="G16" i="241"/>
  <c r="I16" i="241" s="1"/>
  <c r="J16" i="241" s="1"/>
  <c r="G20" i="241"/>
  <c r="I20" i="241"/>
  <c r="J20" i="241" s="1"/>
  <c r="H46" i="267"/>
  <c r="I46" i="267" s="1"/>
  <c r="N65" i="317"/>
  <c r="N54" i="317"/>
  <c r="N66" i="317" s="1"/>
  <c r="E56" i="317"/>
  <c r="F55" i="317" s="1"/>
  <c r="F56" i="317" s="1"/>
  <c r="G55" i="317" s="1"/>
  <c r="G56" i="317" s="1"/>
  <c r="H55" i="317" s="1"/>
  <c r="H56" i="317" s="1"/>
  <c r="I55" i="317" s="1"/>
  <c r="I56" i="317" s="1"/>
  <c r="J55" i="317" s="1"/>
  <c r="J56" i="317" s="1"/>
  <c r="K55" i="317" s="1"/>
  <c r="K56" i="317" s="1"/>
  <c r="L55" i="317" s="1"/>
  <c r="L56" i="317" s="1"/>
  <c r="M55" i="317" s="1"/>
  <c r="M56" i="317" s="1"/>
  <c r="N55" i="317" s="1"/>
  <c r="I49" i="318"/>
  <c r="J49" i="318" s="1"/>
  <c r="E256" i="330"/>
  <c r="I7" i="325"/>
  <c r="J7" i="325" s="1"/>
  <c r="G166" i="325"/>
  <c r="J53" i="268"/>
  <c r="I63" i="268"/>
  <c r="J63" i="268" s="1"/>
  <c r="J46" i="318"/>
  <c r="I106" i="318"/>
  <c r="J106" i="318" s="1"/>
  <c r="F19" i="267"/>
  <c r="H19" i="267" s="1"/>
  <c r="I19" i="267" s="1"/>
  <c r="I38" i="182"/>
  <c r="J38" i="182" s="1"/>
  <c r="J22" i="182"/>
  <c r="H11" i="267"/>
  <c r="I11" i="267" s="1"/>
  <c r="F341" i="323"/>
  <c r="F40" i="272"/>
  <c r="I171" i="323"/>
  <c r="J171" i="323" s="1"/>
  <c r="I13" i="272"/>
  <c r="G21" i="272"/>
  <c r="G40" i="272" s="1"/>
  <c r="I221" i="330"/>
  <c r="J221" i="330" s="1"/>
  <c r="I44" i="241"/>
  <c r="G43" i="241"/>
  <c r="F49" i="241"/>
  <c r="I40" i="241"/>
  <c r="J40" i="241" s="1"/>
  <c r="G39" i="241"/>
  <c r="I39" i="241" s="1"/>
  <c r="J39" i="241" s="1"/>
  <c r="G247" i="330"/>
  <c r="G257" i="330" s="1"/>
  <c r="F247" i="330"/>
  <c r="F257" i="330" s="1"/>
  <c r="G33" i="241"/>
  <c r="I33" i="241" s="1"/>
  <c r="J33" i="241" s="1"/>
  <c r="I29" i="241"/>
  <c r="F125" i="330"/>
  <c r="F256" i="330" s="1"/>
  <c r="F26" i="241"/>
  <c r="F50" i="241" s="1"/>
  <c r="G125" i="330"/>
  <c r="H28" i="267" l="1"/>
  <c r="I28" i="267" s="1"/>
  <c r="G171" i="242"/>
  <c r="I71" i="270"/>
  <c r="J71" i="270" s="1"/>
  <c r="H50" i="241"/>
  <c r="J24" i="272"/>
  <c r="G171" i="335"/>
  <c r="G171" i="326"/>
  <c r="E248" i="330"/>
  <c r="I49" i="269"/>
  <c r="J49" i="269" s="1"/>
  <c r="I341" i="323"/>
  <c r="J341" i="323" s="1"/>
  <c r="H248" i="330"/>
  <c r="I39" i="268"/>
  <c r="J30" i="268"/>
  <c r="H256" i="330"/>
  <c r="I166" i="325"/>
  <c r="J166" i="325" s="1"/>
  <c r="F20" i="267"/>
  <c r="H20" i="267" s="1"/>
  <c r="I20" i="267" s="1"/>
  <c r="I26" i="241"/>
  <c r="J26" i="241" s="1"/>
  <c r="G26" i="241"/>
  <c r="N56" i="317"/>
  <c r="F23" i="267"/>
  <c r="J13" i="272"/>
  <c r="I21" i="272"/>
  <c r="I247" i="330"/>
  <c r="I257" i="330" s="1"/>
  <c r="J44" i="241"/>
  <c r="I43" i="241"/>
  <c r="J43" i="241" s="1"/>
  <c r="G49" i="241"/>
  <c r="J29" i="241"/>
  <c r="F248" i="330"/>
  <c r="G248" i="330"/>
  <c r="G256" i="330"/>
  <c r="I125" i="330"/>
  <c r="I248" i="330" l="1"/>
  <c r="J248" i="330" s="1"/>
  <c r="G50" i="241"/>
  <c r="J39" i="268"/>
  <c r="I40" i="268"/>
  <c r="J40" i="268" s="1"/>
  <c r="I49" i="241"/>
  <c r="J49" i="241" s="1"/>
  <c r="J247" i="330"/>
  <c r="H23" i="267"/>
  <c r="I23" i="267" s="1"/>
  <c r="F25" i="267"/>
  <c r="H25" i="267" s="1"/>
  <c r="I25" i="267" s="1"/>
  <c r="I40" i="272"/>
  <c r="J40" i="272" s="1"/>
  <c r="J21" i="272"/>
  <c r="J125" i="330"/>
  <c r="I256" i="330"/>
  <c r="I50" i="241" l="1"/>
  <c r="J50" i="241" s="1"/>
</calcChain>
</file>

<file path=xl/sharedStrings.xml><?xml version="1.0" encoding="utf-8"?>
<sst xmlns="http://schemas.openxmlformats.org/spreadsheetml/2006/main" count="3081" uniqueCount="1584">
  <si>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</si>
  <si>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</si>
  <si>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</si>
  <si>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</si>
  <si>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</si>
  <si>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</si>
  <si>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</si>
  <si>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</si>
  <si>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</si>
  <si>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</si>
  <si>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</si>
  <si>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</si>
  <si>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</si>
  <si>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</si>
  <si>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</si>
  <si>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</si>
  <si>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</si>
  <si>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</si>
  <si>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</si>
  <si>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</si>
  <si>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</si>
  <si>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</si>
  <si>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</si>
  <si>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</si>
  <si>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</si>
  <si>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</si>
  <si>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</si>
  <si>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</si>
  <si>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</si>
  <si>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</si>
  <si>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</si>
  <si>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</si>
  <si>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</si>
  <si>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</si>
  <si>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</si>
  <si>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</si>
  <si>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</si>
  <si>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</si>
  <si>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</si>
  <si>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</si>
  <si>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</si>
  <si>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</si>
  <si>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</si>
  <si>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</si>
  <si>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</si>
  <si>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</si>
  <si>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</si>
  <si>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</si>
  <si>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</si>
  <si>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</si>
  <si>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</si>
  <si>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</si>
  <si>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</si>
  <si>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</si>
  <si>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</si>
  <si>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</si>
  <si>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</si>
  <si>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</si>
  <si>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</si>
  <si>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</si>
  <si>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</si>
  <si>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</si>
  <si>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</si>
  <si>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</si>
  <si>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</si>
  <si>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</si>
  <si>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</si>
  <si>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</si>
  <si>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</si>
  <si>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</si>
  <si>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</si>
  <si>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</si>
  <si>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</si>
  <si>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</si>
  <si>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</si>
  <si>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</si>
  <si>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</si>
  <si>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</si>
  <si>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</si>
  <si>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</si>
  <si>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</si>
  <si>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</si>
  <si>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</si>
  <si>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</si>
  <si>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</si>
  <si>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</si>
  <si>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</si>
  <si>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</si>
  <si>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</si>
  <si>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</si>
  <si>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</si>
  <si>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</si>
  <si>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</si>
  <si>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</si>
  <si>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</si>
  <si>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</si>
  <si>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</si>
  <si>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</si>
  <si>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</si>
  <si>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</si>
  <si>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</si>
  <si>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</si>
  <si>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</si>
  <si>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</si>
  <si>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</si>
  <si>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</si>
  <si>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</si>
  <si>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</si>
  <si>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</si>
  <si>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</si>
  <si>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</si>
  <si>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</si>
  <si>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</si>
  <si>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</si>
  <si>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</si>
  <si>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</si>
  <si>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</si>
  <si>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</si>
  <si>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</si>
  <si>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</si>
  <si>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</si>
  <si>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</si>
  <si>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</si>
  <si>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</si>
  <si>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</si>
  <si>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</si>
  <si>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</si>
  <si>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</si>
  <si>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</si>
  <si>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</si>
  <si>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</si>
  <si>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</si>
  <si>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</si>
  <si>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</si>
  <si>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</si>
  <si>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</si>
  <si>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</si>
  <si>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</si>
  <si>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</si>
  <si>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</si>
  <si>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</si>
  <si>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</si>
  <si>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</si>
  <si>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</si>
  <si>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</si>
  <si>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</si>
  <si>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</si>
  <si>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</si>
  <si>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</si>
  <si>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</si>
  <si>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</si>
  <si>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</si>
  <si>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</si>
  <si>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</si>
  <si>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</si>
  <si>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</si>
  <si>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</si>
  <si>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</si>
  <si>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</si>
  <si>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</si>
  <si>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</si>
  <si>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</si>
  <si>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</si>
  <si>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</si>
  <si>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</si>
  <si>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</si>
  <si>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</si>
  <si>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</si>
  <si>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</si>
  <si>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</si>
  <si>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</si>
  <si>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</si>
  <si>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</si>
  <si>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</si>
  <si>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</si>
  <si>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</si>
  <si>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</si>
  <si>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</si>
  <si>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</si>
  <si>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</si>
  <si>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</si>
  <si>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</si>
  <si>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</si>
  <si>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</si>
  <si>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</si>
  <si>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</si>
  <si>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</si>
  <si>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</si>
  <si>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</si>
  <si>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</si>
  <si>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</si>
  <si>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</si>
  <si>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</si>
  <si>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</si>
  <si>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</si>
  <si>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</si>
  <si>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</si>
  <si>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</si>
  <si>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</si>
  <si>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</si>
  <si>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</si>
  <si>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</si>
  <si>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</si>
  <si>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</si>
  <si>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</si>
  <si>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</si>
  <si>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</si>
  <si>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</si>
  <si>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</si>
  <si>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</si>
  <si>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</si>
  <si>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</si>
  <si>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</si>
  <si>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</si>
  <si>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</si>
  <si>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</si>
  <si>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</si>
  <si>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</si>
  <si>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</si>
  <si>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</si>
  <si>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</si>
  <si>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</si>
  <si>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</si>
  <si>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</si>
  <si>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</si>
  <si>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</si>
  <si>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</si>
  <si>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</si>
  <si>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</si>
  <si>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</si>
  <si>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</si>
  <si>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</si>
  <si>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</si>
  <si>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</si>
  <si>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</si>
  <si>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</si>
  <si>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</si>
  <si>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</si>
  <si>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</si>
  <si>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</si>
  <si>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</si>
  <si>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</si>
  <si>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</si>
  <si>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</si>
  <si>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</si>
  <si>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</si>
  <si>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</si>
  <si>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</si>
  <si>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</si>
  <si>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</si>
  <si>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</si>
  <si>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</si>
  <si>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</si>
  <si>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</si>
  <si>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</si>
  <si>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</si>
  <si>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</si>
  <si>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</si>
  <si>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</si>
  <si>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</si>
  <si>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</si>
  <si>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</si>
  <si>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</si>
  <si>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</si>
  <si>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</si>
  <si>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</si>
  <si>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</si>
  <si>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</si>
  <si>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</si>
  <si>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</si>
  <si>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</si>
  <si>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</si>
  <si>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</si>
  <si>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</si>
  <si>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</si>
  <si>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</si>
  <si>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</si>
  <si>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</si>
  <si>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</si>
  <si>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</si>
  <si>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</si>
  <si>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</si>
  <si>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</si>
  <si>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</si>
  <si>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</si>
  <si>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</si>
  <si>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</si>
  <si>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</si>
  <si>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</si>
  <si>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</si>
  <si>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</si>
  <si>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</si>
  <si>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</si>
  <si>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</si>
  <si>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</si>
  <si>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</si>
  <si>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</si>
  <si>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</si>
  <si>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</si>
  <si>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</si>
  <si>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</si>
  <si>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</si>
  <si>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</si>
  <si>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</si>
  <si>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</si>
  <si>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</si>
  <si>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</si>
  <si>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</si>
  <si>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</si>
  <si>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</si>
  <si>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</si>
  <si>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</si>
  <si>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</si>
  <si>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</si>
  <si>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</si>
  <si>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</si>
  <si>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</si>
  <si>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</si>
  <si>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</si>
  <si>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</si>
  <si>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</si>
  <si>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</si>
  <si>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</si>
  <si>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</si>
  <si>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</si>
  <si>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</si>
  <si>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</si>
  <si>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</si>
  <si>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</si>
  <si>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</si>
  <si>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</si>
  <si>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</si>
  <si>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</si>
  <si>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</si>
  <si>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</si>
  <si>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</si>
  <si>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</si>
  <si>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</si>
  <si>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</si>
  <si>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</si>
  <si>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</si>
  <si>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</si>
  <si>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</si>
  <si>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</si>
  <si>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</si>
  <si>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</si>
  <si>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</si>
  <si>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</si>
  <si>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</si>
  <si>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</si>
  <si>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</si>
  <si>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</si>
  <si>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</si>
  <si>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</si>
  <si>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</si>
  <si>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</si>
  <si>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</si>
  <si>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</si>
  <si>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</si>
  <si>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</si>
  <si>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</si>
  <si>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</si>
  <si>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</si>
  <si>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</si>
  <si>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</si>
  <si>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</si>
  <si>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</si>
  <si>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</si>
  <si>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</si>
  <si>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</si>
  <si>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</si>
  <si>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</si>
  <si>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</si>
  <si>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</si>
  <si>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</si>
  <si>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</si>
  <si>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</si>
  <si>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</si>
  <si>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</si>
  <si>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</si>
  <si>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</si>
  <si>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</si>
  <si>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</si>
  <si>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</si>
  <si>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</si>
  <si>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</si>
  <si>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</si>
  <si>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</si>
  <si>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</si>
  <si>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</si>
  <si>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</si>
  <si>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</si>
  <si>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</si>
  <si>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</si>
  <si>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</si>
  <si>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</si>
  <si>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</si>
  <si>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</si>
  <si>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</si>
  <si>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</si>
  <si>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</si>
  <si>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</si>
  <si>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</si>
  <si>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</si>
  <si>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</si>
  <si>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</si>
  <si>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</si>
  <si>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</si>
  <si>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</si>
  <si>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</si>
  <si>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</si>
  <si>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</si>
  <si>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</si>
  <si>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</si>
  <si>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</si>
  <si>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</si>
  <si>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</si>
  <si>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</si>
  <si>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</si>
  <si>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</si>
  <si>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</si>
  <si>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</si>
  <si>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</si>
  <si>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</si>
  <si>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</si>
  <si>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</si>
  <si>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</si>
  <si>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</si>
  <si>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</si>
  <si>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</si>
  <si>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</si>
  <si>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</si>
  <si>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</si>
  <si>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</si>
  <si>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</si>
  <si>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</si>
  <si>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</si>
  <si>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</si>
  <si>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</si>
  <si>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</si>
  <si>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</si>
  <si>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</si>
  <si>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</si>
  <si>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</si>
  <si>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</si>
  <si>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</si>
  <si>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</si>
  <si>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</si>
  <si>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</si>
  <si>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</si>
  <si>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</si>
  <si>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</si>
  <si>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</si>
  <si>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</si>
  <si>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</si>
  <si>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</si>
  <si>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</si>
  <si>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</si>
  <si>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</si>
  <si>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</si>
  <si>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</si>
  <si>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</si>
  <si>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</si>
  <si>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</si>
  <si>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</si>
  <si>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</si>
  <si>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</si>
  <si>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</si>
  <si>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</si>
  <si>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</si>
  <si>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</si>
  <si>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</si>
  <si>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</si>
  <si>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</si>
  <si>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</si>
  <si>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</si>
  <si>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</si>
  <si>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</si>
  <si>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</si>
  <si>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</si>
  <si>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</si>
  <si>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</si>
  <si>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</si>
  <si>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</si>
  <si>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</si>
  <si>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</si>
  <si>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</si>
  <si>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</si>
  <si>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</si>
  <si>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</si>
  <si>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</si>
  <si>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</si>
  <si>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</si>
  <si>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</si>
  <si>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</si>
  <si>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</si>
  <si>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</si>
  <si>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</si>
  <si>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</si>
  <si>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</si>
  <si>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</si>
  <si>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</si>
  <si>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</si>
  <si>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</si>
  <si>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</si>
  <si>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</si>
  <si>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</si>
  <si>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</si>
  <si>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</si>
  <si>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</si>
  <si>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</si>
  <si>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</si>
  <si>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</si>
  <si>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</si>
  <si>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</si>
  <si>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</si>
  <si>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</si>
  <si>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</si>
  <si>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</si>
  <si>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</si>
  <si>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</si>
  <si>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</si>
  <si>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</si>
  <si>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</si>
  <si>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</si>
  <si>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</si>
  <si>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</si>
  <si>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</si>
  <si>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</si>
  <si>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</si>
  <si>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</si>
  <si>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</si>
  <si>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</si>
  <si>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</si>
  <si>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</si>
  <si>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</si>
  <si>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</si>
  <si>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</si>
  <si>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</si>
  <si>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</si>
  <si>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</si>
  <si>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</si>
  <si>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</si>
  <si>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</si>
  <si>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</si>
  <si>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</si>
  <si>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</si>
  <si>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</si>
  <si>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</si>
  <si>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</si>
  <si>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</si>
  <si>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</si>
  <si>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</si>
  <si>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</si>
  <si>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</si>
  <si>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</si>
  <si>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</si>
  <si>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</si>
  <si>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</si>
  <si>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</si>
  <si>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</si>
  <si>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</si>
  <si>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</si>
  <si>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</si>
  <si>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</si>
  <si>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</si>
  <si>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</si>
  <si>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</si>
  <si>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</si>
  <si>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</si>
  <si>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</si>
  <si>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</si>
  <si>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</si>
  <si>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</si>
  <si>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</si>
  <si>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</si>
  <si>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</si>
  <si>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</si>
  <si>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</si>
  <si>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</si>
  <si>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</si>
  <si>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</si>
  <si>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</si>
  <si>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</si>
  <si>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</si>
  <si>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</si>
  <si>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</si>
  <si>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</si>
  <si>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</si>
  <si>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</si>
  <si>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</si>
  <si>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</si>
  <si>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</si>
  <si>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</si>
  <si>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</si>
  <si>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</si>
  <si>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</si>
  <si>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</si>
  <si>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</si>
  <si>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</si>
  <si>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</si>
  <si>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</si>
  <si>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</si>
  <si>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</si>
  <si>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</si>
  <si>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</si>
  <si>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</si>
  <si>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</si>
  <si>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</si>
  <si>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</si>
  <si>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</si>
  <si>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</si>
  <si>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</si>
  <si>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</si>
  <si>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</si>
  <si>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</si>
  <si>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</si>
  <si>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</si>
  <si>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</si>
  <si>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</si>
  <si>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</si>
  <si>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</si>
  <si>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</si>
  <si>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</si>
  <si>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</si>
  <si>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</si>
  <si>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</si>
  <si>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</si>
  <si>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</si>
  <si>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</si>
  <si>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</si>
  <si>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</si>
  <si>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</si>
  <si>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</si>
  <si>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</si>
  <si>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</si>
  <si>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</si>
  <si>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</si>
  <si>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</si>
  <si>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</si>
  <si>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</si>
  <si>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</si>
  <si>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</si>
  <si>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</si>
  <si>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</si>
  <si>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</si>
  <si>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</si>
  <si>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</si>
  <si>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</si>
  <si>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</si>
  <si>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</si>
  <si>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</si>
  <si>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</si>
  <si>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</si>
  <si>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</si>
  <si>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</si>
  <si>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</si>
  <si>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</si>
  <si>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</si>
  <si>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</si>
  <si>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</si>
  <si>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</si>
  <si>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</si>
  <si>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</si>
  <si>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</si>
  <si>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</si>
  <si>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</si>
  <si>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</si>
  <si>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</si>
  <si>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</si>
  <si>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</si>
  <si>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</si>
  <si>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</si>
  <si>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</si>
  <si>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</si>
  <si>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</si>
  <si>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</si>
  <si>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</si>
  <si>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</si>
  <si>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</si>
  <si>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</si>
  <si>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</si>
  <si>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</si>
  <si>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</si>
  <si>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</si>
  <si>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</si>
  <si>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</si>
  <si>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</si>
  <si>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</si>
  <si>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</si>
  <si>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</si>
  <si>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</si>
  <si>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</si>
  <si>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</si>
  <si>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</si>
  <si>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</si>
  <si>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</si>
  <si>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</si>
  <si>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</si>
  <si>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</si>
  <si>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</si>
  <si>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</si>
  <si>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</si>
  <si>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</si>
  <si>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</si>
  <si>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</si>
  <si>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</si>
  <si>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</si>
  <si>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</si>
  <si>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</si>
  <si>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</si>
  <si>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</si>
  <si>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</si>
  <si>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</si>
  <si>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</si>
  <si>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</si>
  <si>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</si>
  <si>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</si>
  <si>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</si>
  <si>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</si>
  <si>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</si>
  <si>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</si>
  <si>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</si>
  <si>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</si>
  <si>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</si>
  <si>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</si>
  <si>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</si>
  <si>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</si>
  <si>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</si>
  <si>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</si>
  <si>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</si>
  <si>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</si>
  <si>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</si>
  <si>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</si>
  <si>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</si>
  <si>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</si>
  <si>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</si>
  <si>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</si>
  <si>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</si>
  <si>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</si>
  <si>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</si>
  <si>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</si>
  <si>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</si>
  <si>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</si>
  <si>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</si>
  <si>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</si>
  <si>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</si>
  <si>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</si>
  <si>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</si>
  <si>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</si>
  <si>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</si>
  <si>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</si>
  <si>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</si>
  <si>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</si>
  <si>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</si>
  <si>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</si>
  <si>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</si>
  <si>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</si>
  <si>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</si>
  <si>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</si>
  <si>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</si>
  <si>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</si>
  <si>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</si>
  <si>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</si>
  <si>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</si>
  <si>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</si>
  <si>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</si>
  <si>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</si>
  <si>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</si>
  <si>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</si>
  <si>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</si>
  <si>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</si>
  <si>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</si>
  <si>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</si>
  <si>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</si>
  <si>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</si>
  <si>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</si>
  <si>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</si>
  <si>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</si>
  <si>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</si>
  <si>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</si>
  <si>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</si>
  <si>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</si>
  <si>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</si>
  <si>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</si>
  <si>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</si>
  <si>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</si>
  <si>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</si>
  <si>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</si>
  <si>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</si>
  <si>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</si>
  <si>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</si>
  <si>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</si>
  <si>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</si>
  <si>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</si>
  <si>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</si>
  <si>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</si>
  <si>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</si>
  <si>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</si>
  <si>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</si>
  <si>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</si>
  <si>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</si>
  <si>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</si>
  <si>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</si>
  <si>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</si>
  <si>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</si>
  <si>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</si>
  <si>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</si>
  <si>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</si>
  <si>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</si>
  <si>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</si>
  <si>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</si>
  <si>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</si>
  <si>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</si>
  <si>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</si>
  <si>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</si>
  <si>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</si>
  <si>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</si>
  <si>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</si>
  <si>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</si>
  <si>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</si>
  <si>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</si>
  <si>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</si>
  <si>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</si>
  <si>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</si>
  <si>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</si>
  <si>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</si>
  <si>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</si>
  <si>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</si>
  <si>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</si>
  <si>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</si>
  <si>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</si>
  <si>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</si>
  <si>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</si>
  <si>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</si>
  <si>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</si>
  <si>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</si>
  <si>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</si>
  <si>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</si>
  <si>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</si>
  <si>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</si>
  <si>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</si>
  <si>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</si>
  <si>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</si>
  <si>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</si>
  <si>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</si>
  <si>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</si>
  <si>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</si>
  <si>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</si>
  <si>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</si>
  <si>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</si>
  <si>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</si>
  <si>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</si>
  <si>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</si>
  <si>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</si>
  <si>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</si>
  <si>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</si>
  <si>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</si>
  <si>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</si>
  <si>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</si>
  <si>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</si>
  <si>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</si>
  <si>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</si>
  <si>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</si>
  <si>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</si>
  <si>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</si>
  <si>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</si>
  <si>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</si>
  <si>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</si>
  <si>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</si>
  <si>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</si>
  <si>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</si>
  <si>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</si>
  <si>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</si>
  <si>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</si>
  <si>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</si>
  <si>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</si>
  <si>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</si>
  <si>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</si>
  <si>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</si>
  <si>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</si>
  <si>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</si>
  <si>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</si>
  <si>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</si>
  <si>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</si>
  <si>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</si>
  <si>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</si>
  <si>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</si>
  <si>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</si>
  <si>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</si>
  <si>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</si>
  <si>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</si>
  <si>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</si>
  <si>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</si>
  <si>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</si>
  <si>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</si>
  <si>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</si>
  <si>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</si>
  <si>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</si>
  <si>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</si>
  <si>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</si>
  <si>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</si>
  <si>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</si>
  <si>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</si>
  <si>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</si>
  <si>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</si>
  <si>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</si>
  <si>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</si>
  <si>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</si>
  <si>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</si>
  <si>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</si>
  <si>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</si>
  <si>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</si>
  <si>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</si>
  <si>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</si>
  <si>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</si>
  <si>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</si>
  <si>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</si>
  <si>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</si>
  <si>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</si>
  <si>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</si>
  <si>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</si>
  <si>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</si>
  <si>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</si>
  <si>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</si>
  <si>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</si>
  <si>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</si>
  <si>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</si>
  <si>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</si>
  <si>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</si>
  <si>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</si>
  <si>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</si>
  <si>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</si>
  <si>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</si>
  <si>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</si>
  <si>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</si>
  <si>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</si>
  <si>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</si>
  <si>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</si>
  <si>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</si>
  <si>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</si>
  <si>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</si>
  <si>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</si>
  <si>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</si>
  <si>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</si>
  <si>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</si>
  <si>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</si>
  <si>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</si>
  <si>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</si>
  <si>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</si>
  <si>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</si>
  <si>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</si>
  <si>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</si>
  <si>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</si>
  <si>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</si>
  <si>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</si>
  <si>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</si>
  <si>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</si>
  <si>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</si>
  <si>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</si>
  <si>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</si>
  <si>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</si>
  <si>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</si>
  <si>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</si>
  <si>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</si>
  <si>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</si>
  <si>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</si>
  <si>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</si>
  <si>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</si>
  <si>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</si>
  <si>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</si>
  <si>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</si>
  <si>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</si>
  <si>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</si>
  <si>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</si>
  <si>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</si>
  <si>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</si>
  <si>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</si>
  <si>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</si>
  <si>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</si>
  <si>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</si>
  <si>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</si>
  <si>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</si>
  <si>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</si>
  <si>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</si>
  <si>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</si>
  <si>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</si>
  <si>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</si>
  <si>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</si>
  <si>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</si>
  <si>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</si>
  <si>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</si>
  <si>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</si>
  <si>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</si>
  <si>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</si>
  <si>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</si>
  <si>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</si>
  <si>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</si>
  <si>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</si>
  <si>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</si>
  <si>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</si>
  <si>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</si>
  <si>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</si>
  <si>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</si>
  <si>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</si>
  <si>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</si>
  <si>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</si>
  <si>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</si>
  <si>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</si>
  <si>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</si>
  <si>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</si>
  <si>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</si>
  <si>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</si>
  <si>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</si>
  <si>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</si>
  <si>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</si>
  <si>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</si>
  <si>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</si>
  <si>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</si>
  <si>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</si>
  <si>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</si>
  <si>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</si>
  <si>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</si>
  <si>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</si>
  <si>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</si>
  <si>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</si>
  <si>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</si>
  <si>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</si>
  <si>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</si>
  <si>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</si>
  <si>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</si>
  <si>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</si>
  <si>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</si>
  <si>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</si>
  <si>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</si>
  <si>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</si>
  <si>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</si>
  <si>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</si>
  <si>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</si>
  <si>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</si>
  <si>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</si>
  <si>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</si>
  <si>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</si>
  <si>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</si>
  <si>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</si>
  <si>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</si>
  <si>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</si>
  <si>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</si>
  <si>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</si>
  <si>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</si>
  <si>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</si>
  <si>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</si>
  <si>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</si>
  <si>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</si>
  <si>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</si>
  <si>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</si>
  <si>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</si>
  <si>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</si>
  <si>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</si>
  <si>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</si>
  <si>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</si>
  <si>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</si>
  <si>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</si>
  <si>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</si>
  <si>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</si>
  <si>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</si>
  <si>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</si>
  <si>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</si>
  <si>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</si>
  <si>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</si>
  <si>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</si>
  <si>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</si>
  <si>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</si>
  <si>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</si>
  <si>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</si>
  <si>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</si>
  <si>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</si>
  <si>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</si>
  <si>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</si>
  <si>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</si>
  <si>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</si>
  <si>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</si>
  <si>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</si>
  <si>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</si>
  <si>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</si>
  <si>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</si>
  <si>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</si>
  <si>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</si>
  <si>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</si>
  <si>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</si>
  <si>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</si>
  <si>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</si>
  <si>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</si>
  <si>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</si>
  <si>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</si>
  <si>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</si>
  <si>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</si>
  <si>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</si>
  <si>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</si>
  <si>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</si>
  <si>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</si>
  <si>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</si>
  <si>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</si>
  <si>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</si>
  <si>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</si>
  <si>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</si>
  <si>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</si>
  <si>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</si>
  <si>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</si>
  <si>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</si>
  <si>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</si>
  <si>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</si>
  <si>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</si>
  <si>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</si>
  <si>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</si>
  <si>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</si>
  <si>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</si>
  <si>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</si>
  <si>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</si>
  <si>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</si>
  <si>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</si>
  <si>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</si>
  <si>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</si>
  <si>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</si>
  <si>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</si>
  <si>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</si>
  <si>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</si>
  <si>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</si>
  <si>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</si>
  <si>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</si>
  <si>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</si>
  <si>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</si>
  <si>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</si>
  <si>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</si>
  <si>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</si>
  <si>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</si>
  <si>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</si>
  <si>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</si>
  <si>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</si>
  <si>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</si>
  <si>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</si>
  <si>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</si>
  <si>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</si>
  <si>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</si>
  <si>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</si>
  <si>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</si>
  <si>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</si>
  <si>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</si>
  <si>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</si>
  <si>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</si>
  <si>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</si>
  <si>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</si>
  <si>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</si>
  <si>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</si>
  <si>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</si>
  <si>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</si>
  <si>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</si>
  <si>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</si>
  <si>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</si>
  <si>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</si>
  <si>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</si>
  <si>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</si>
  <si>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</si>
  <si>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</si>
  <si>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</si>
  <si>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</si>
  <si>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</si>
  <si>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</si>
  <si>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</si>
  <si>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</si>
  <si>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</si>
  <si>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</si>
  <si>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</si>
  <si>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</si>
  <si>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</si>
  <si>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</si>
  <si>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</si>
  <si>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</si>
  <si>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</si>
  <si>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</si>
  <si>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</si>
  <si>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</si>
  <si>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</si>
  <si>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</si>
  <si>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</si>
  <si>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</si>
  <si>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</si>
  <si>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</si>
  <si>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</si>
  <si>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</si>
  <si>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</si>
  <si>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</si>
  <si>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</si>
  <si>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</si>
  <si>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</si>
  <si>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</si>
  <si>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</si>
  <si>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</si>
  <si>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</si>
  <si>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</si>
  <si>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</si>
  <si>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</si>
  <si>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</si>
  <si>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</si>
  <si>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</si>
  <si>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</si>
  <si>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</si>
  <si>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</si>
  <si>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</si>
  <si>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</si>
  <si>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</si>
  <si>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</si>
  <si>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</si>
  <si>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</si>
  <si>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</si>
  <si>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</si>
  <si>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</si>
  <si>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</si>
  <si>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</si>
  <si>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</si>
  <si>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</si>
  <si>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</si>
  <si>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</si>
  <si>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</si>
  <si>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</si>
  <si>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</si>
  <si>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</si>
  <si>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</si>
  <si>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</si>
  <si>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</si>
  <si>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</si>
  <si>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</si>
  <si>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</si>
  <si>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</si>
  <si>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</si>
  <si>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</si>
  <si>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</si>
  <si>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</si>
  <si>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</si>
  <si>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</si>
  <si>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</si>
  <si>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</si>
  <si>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</si>
  <si>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</si>
  <si>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</si>
  <si>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</si>
  <si>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</si>
  <si>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</si>
  <si>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</si>
  <si>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</si>
  <si>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</si>
  <si>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</si>
  <si>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</si>
  <si>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</si>
  <si>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</si>
  <si>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</si>
  <si>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</si>
  <si>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</si>
  <si>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</si>
  <si>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</si>
  <si>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</si>
  <si>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</si>
  <si>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</si>
  <si>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</si>
  <si>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</si>
  <si>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</si>
  <si>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</si>
  <si>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</si>
  <si>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</si>
  <si>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</si>
  <si>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</si>
  <si>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</si>
  <si>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</si>
  <si>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</si>
  <si>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</si>
  <si>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</si>
  <si>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</si>
  <si>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</si>
  <si>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</si>
  <si>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</si>
  <si>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</si>
  <si>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</si>
  <si>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</si>
  <si>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</si>
  <si>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</si>
  <si>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</si>
  <si>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</si>
  <si>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</si>
  <si>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</si>
  <si>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</si>
  <si>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</si>
  <si>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</si>
  <si>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</si>
  <si>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</si>
  <si>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</si>
  <si>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</si>
  <si>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</si>
  <si>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</si>
  <si>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</si>
  <si>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</si>
  <si>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</si>
  <si>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</si>
  <si>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</si>
  <si>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</si>
  <si>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</si>
  <si>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</si>
  <si>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</si>
  <si>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</si>
  <si>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</si>
  <si>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</si>
  <si>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</si>
  <si>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</si>
  <si>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</si>
  <si>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</si>
  <si>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</si>
  <si>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</si>
  <si>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</si>
  <si>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</si>
  <si>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</si>
  <si>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</si>
  <si>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</si>
  <si>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</si>
  <si>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</si>
  <si>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</si>
  <si>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</si>
  <si>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</si>
  <si>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</si>
  <si>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</si>
  <si>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</si>
  <si>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</si>
  <si>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</si>
  <si>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</si>
  <si>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</si>
  <si>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</si>
  <si>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</si>
  <si>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</si>
  <si>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</si>
  <si>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</si>
  <si>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</si>
  <si>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</si>
  <si>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</si>
  <si>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</si>
  <si>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</si>
  <si>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</si>
  <si>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</si>
  <si>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</si>
  <si>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</si>
  <si>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</si>
  <si>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</si>
  <si>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</si>
  <si>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</si>
  <si>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</si>
  <si>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</si>
  <si>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</si>
  <si>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</si>
  <si>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</si>
  <si>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</si>
  <si>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</si>
  <si>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</si>
  <si>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</si>
  <si>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</si>
  <si>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</si>
  <si>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</si>
  <si>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</si>
  <si>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</si>
  <si>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</si>
  <si>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</si>
  <si>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</si>
  <si>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</si>
  <si>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</si>
  <si>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</si>
  <si>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</si>
  <si>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</si>
  <si>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</si>
  <si>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</si>
  <si>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</si>
  <si>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</si>
  <si>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</si>
  <si>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Municipal Manager</t>
  </si>
  <si>
    <t>Administration Municipal Manager</t>
  </si>
  <si>
    <t>Internal Audit</t>
  </si>
  <si>
    <t>Strategic Support</t>
  </si>
  <si>
    <t>Planning &amp; Economic Development</t>
  </si>
  <si>
    <t>Administration Strategy &amp; Development</t>
  </si>
  <si>
    <t>Local Economic Development</t>
  </si>
  <si>
    <t>Town &amp; Regional Planning</t>
  </si>
  <si>
    <t>Housing Administration</t>
  </si>
  <si>
    <t>SATELITE OFFICE: NKOWANKOWA</t>
  </si>
  <si>
    <t>SATELITE OFFICE: LENYENYE</t>
  </si>
  <si>
    <t>SATELITE OFFICE: LETSITELE</t>
  </si>
  <si>
    <t>Financial Services</t>
  </si>
  <si>
    <t>Administration Finance</t>
  </si>
  <si>
    <t>Budget office</t>
  </si>
  <si>
    <t>Revenue</t>
  </si>
  <si>
    <t>Expenditure</t>
  </si>
  <si>
    <t>Supply Chain Management</t>
  </si>
  <si>
    <t>Corporate Services</t>
  </si>
  <si>
    <t>Communications</t>
  </si>
  <si>
    <t>Public Participation &amp; Project Support</t>
  </si>
  <si>
    <t>Administration HR &amp; Corporate</t>
  </si>
  <si>
    <t>Occupational Health &amp; safety</t>
  </si>
  <si>
    <t>Council Expenditure</t>
  </si>
  <si>
    <t>Community Services</t>
  </si>
  <si>
    <t>Parks &amp; Recreation</t>
  </si>
  <si>
    <t>Administration Community Services</t>
  </si>
  <si>
    <t>Community Health Services</t>
  </si>
  <si>
    <t>Enviromental Health Services</t>
  </si>
  <si>
    <t>Library Services</t>
  </si>
  <si>
    <t>Solid Waste</t>
  </si>
  <si>
    <t>Street Cleansing</t>
  </si>
  <si>
    <t>Traffic services</t>
  </si>
  <si>
    <t>Administration Transport,safety,Security</t>
  </si>
  <si>
    <t>Vehicle licencing</t>
  </si>
  <si>
    <t>Electrical Engineering Services</t>
  </si>
  <si>
    <t>Administration Electrical Engineering</t>
  </si>
  <si>
    <t>Operations &amp; Maintenance: Rural</t>
  </si>
  <si>
    <t>Operations &amp; Maintenance: Town</t>
  </si>
  <si>
    <t>Engineering Services</t>
  </si>
  <si>
    <t>Administration Civil Engineering</t>
  </si>
  <si>
    <t>Roads &amp; stormwater Management</t>
  </si>
  <si>
    <t>Water Networks</t>
  </si>
  <si>
    <t>Water Purification</t>
  </si>
  <si>
    <t>Building &amp; Housing</t>
  </si>
  <si>
    <t>Project Management</t>
  </si>
  <si>
    <t>GTEDA</t>
  </si>
  <si>
    <t>Gteda</t>
  </si>
  <si>
    <t>1.1 - Administration Municipal Manager</t>
  </si>
  <si>
    <t>1.2 - Internal Audit</t>
  </si>
  <si>
    <t>1.4 - Strategic Support</t>
  </si>
  <si>
    <t>1.5 - Risk Management</t>
  </si>
  <si>
    <t>1.6 - Legal Services</t>
  </si>
  <si>
    <t>1.3 - Disaster Management</t>
  </si>
  <si>
    <t>www.tzaneen.gov.za</t>
  </si>
  <si>
    <t>palesam@tzaneen.gov.za</t>
  </si>
  <si>
    <t>P O BOX 24</t>
  </si>
  <si>
    <t>Tzaneen</t>
  </si>
  <si>
    <t>0850</t>
  </si>
  <si>
    <t>CIVIC CENTRE</t>
  </si>
  <si>
    <t>NO.1 AGATHA</t>
  </si>
  <si>
    <t>015 307 8000</t>
  </si>
  <si>
    <t>015 307 8049</t>
  </si>
  <si>
    <t>711226 0443 086</t>
  </si>
  <si>
    <t>Ms</t>
  </si>
  <si>
    <t>Dikeledi J Mmetle</t>
  </si>
  <si>
    <t>015 307 8025</t>
  </si>
  <si>
    <t>083 284 4174</t>
  </si>
  <si>
    <t>mmetledj@tzaneen.gov.za</t>
  </si>
  <si>
    <t>810906 0823 086</t>
  </si>
  <si>
    <t>Roseÿ Letsoalo</t>
  </si>
  <si>
    <t>083 331 1541</t>
  </si>
  <si>
    <t>086 759 6489</t>
  </si>
  <si>
    <t>rose.letsoalo@tzaneen.gov.za</t>
  </si>
  <si>
    <t>690404 5633 085</t>
  </si>
  <si>
    <t>Mr</t>
  </si>
  <si>
    <t>Maripe Mangena</t>
  </si>
  <si>
    <t>015 307 8014</t>
  </si>
  <si>
    <t>083 694 3231</t>
  </si>
  <si>
    <t>maripe.mangena@tzaneen.gov.za</t>
  </si>
  <si>
    <t>830619 5622 082</t>
  </si>
  <si>
    <t>Tsietsi Manyama</t>
  </si>
  <si>
    <t>015 307 8007</t>
  </si>
  <si>
    <t>076 363 2917</t>
  </si>
  <si>
    <t>tsietsi@tzaneen.gov.za</t>
  </si>
  <si>
    <t>Bartholomew Serapelo Matlala</t>
  </si>
  <si>
    <t>015 307 8002</t>
  </si>
  <si>
    <t>071 592 5089</t>
  </si>
  <si>
    <t>tmatlala@tzaneen.gov.za</t>
  </si>
  <si>
    <t>820405 0045 087</t>
  </si>
  <si>
    <t>Mrs</t>
  </si>
  <si>
    <t>Mandy Arjoon</t>
  </si>
  <si>
    <t>015 307 8246</t>
  </si>
  <si>
    <t>083 538 5266</t>
  </si>
  <si>
    <t>Mandy.Arjoon@tzaneen.gov.za</t>
  </si>
  <si>
    <t>Palesa Mikateko Makhubela</t>
  </si>
  <si>
    <t>015 307 8062</t>
  </si>
  <si>
    <t>078 239 9010</t>
  </si>
  <si>
    <t>850715 0887 087</t>
  </si>
  <si>
    <t>Mimmy Maunatlala</t>
  </si>
  <si>
    <t>072 331 0804</t>
  </si>
  <si>
    <t>mimmy.maunatlala@tzaneen.gov.za</t>
  </si>
  <si>
    <t>820506 5810 084</t>
  </si>
  <si>
    <t>Mr Arnold Mathebula</t>
  </si>
  <si>
    <t>015 307 8072</t>
  </si>
  <si>
    <t>072 626 2147</t>
  </si>
  <si>
    <t>arnold.mathebula@tzaneen.gov.za</t>
  </si>
  <si>
    <t>630707 0056 083</t>
  </si>
  <si>
    <t>Petronella</t>
  </si>
  <si>
    <t>015 307 8110</t>
  </si>
  <si>
    <t>082 346 9881</t>
  </si>
  <si>
    <t>015 307 8349</t>
  </si>
  <si>
    <t>rona.viljoen@tzaneen.gov.za</t>
  </si>
  <si>
    <t>850801 5773 082</t>
  </si>
  <si>
    <t>Oupa Mbungela</t>
  </si>
  <si>
    <t>015 307 8068</t>
  </si>
  <si>
    <t>oupa.mbungela@tzaneen.gov.za</t>
  </si>
  <si>
    <t>790319 0266 088</t>
  </si>
  <si>
    <t>Mihloti Shirinda</t>
  </si>
  <si>
    <t>015 307 8113</t>
  </si>
  <si>
    <t>078 695 3292</t>
  </si>
  <si>
    <t>mihloti.shirinda@tzaneen.gov.za</t>
  </si>
  <si>
    <t>790412 0725 086</t>
  </si>
  <si>
    <t>Mathilda Mosibudi</t>
  </si>
  <si>
    <t>015 307 8063</t>
  </si>
  <si>
    <t>072 786 3070</t>
  </si>
  <si>
    <t>Shibu.Rabothata@tzaneen.gov.za</t>
  </si>
  <si>
    <t>730710 0524 083</t>
  </si>
  <si>
    <t>Mokgadi Ethel</t>
  </si>
  <si>
    <t>015 307 8104</t>
  </si>
  <si>
    <t>078 852 8500</t>
  </si>
  <si>
    <t>086 759 6440</t>
  </si>
  <si>
    <t>mokgadi.sono@tzaneen.gov.za</t>
  </si>
  <si>
    <t>6709205003080</t>
  </si>
  <si>
    <t>A.J.J. Le Grange</t>
  </si>
  <si>
    <t>082 322 5388</t>
  </si>
  <si>
    <t>andre.legrange@tzaneen.gov.za</t>
  </si>
  <si>
    <t>2.1 - Administration Strategy &amp; Development</t>
  </si>
  <si>
    <t>2.2 - Local Economic Development</t>
  </si>
  <si>
    <t>2.3 - Town &amp; Regional Planning</t>
  </si>
  <si>
    <t>2.4 - Housing Administration</t>
  </si>
  <si>
    <t>2.5 - SATELITE OFFICE: NKOWANKOWA</t>
  </si>
  <si>
    <t>2.6 - SATELITE OFFICE: LENYENYE</t>
  </si>
  <si>
    <t>2.7 - SATELITE OFFICE: LETSITELE</t>
  </si>
  <si>
    <t>3.1 - Administration Finance</t>
  </si>
  <si>
    <t>3.2 - Budget office</t>
  </si>
  <si>
    <t>3.3 - Revenue</t>
  </si>
  <si>
    <t>3.4 - Expenditure</t>
  </si>
  <si>
    <t>3.5 - Inventory</t>
  </si>
  <si>
    <t>3.6 - Supply Chain Management</t>
  </si>
  <si>
    <t>4.1 - Communications</t>
  </si>
  <si>
    <t>4.2 - Public Participation &amp; Project Support</t>
  </si>
  <si>
    <t>4.3 - Information Technology</t>
  </si>
  <si>
    <t>4.4 - Administration HR &amp; Corporate</t>
  </si>
  <si>
    <t>4.5 - Human Resources</t>
  </si>
  <si>
    <t>4.6 - Occupational Health &amp; safety</t>
  </si>
  <si>
    <t>4.8 - Corporate Services</t>
  </si>
  <si>
    <t>5.1 - Parks &amp; Recreation</t>
  </si>
  <si>
    <t>5.2 - Administration Community Services</t>
  </si>
  <si>
    <t>5.3 - Community Health Services</t>
  </si>
  <si>
    <t>5.4 - Enviromental Health Services</t>
  </si>
  <si>
    <t>5.5 - Library Services</t>
  </si>
  <si>
    <t>5.6 - Solid Waste</t>
  </si>
  <si>
    <t>5.7 - Street Cleansing</t>
  </si>
  <si>
    <t>5.8 - Public Toilets</t>
  </si>
  <si>
    <t>6.2 - Administration Transport,safety,Security</t>
  </si>
  <si>
    <t>6.3 - Vehicle licencing</t>
  </si>
  <si>
    <t>6.1 - Traffic services</t>
  </si>
  <si>
    <t>7.1 - Administration Electrical Engineering</t>
  </si>
  <si>
    <t>7.2 - Operations &amp; Maintenance: Rural</t>
  </si>
  <si>
    <t>7.3 - Operations &amp; Maintenance: Town</t>
  </si>
  <si>
    <t>8.1 - Fleet Management</t>
  </si>
  <si>
    <t>8.2 - Administration Civil Engineering</t>
  </si>
  <si>
    <t>8.3 - Roads &amp; stormwater Management</t>
  </si>
  <si>
    <t>8.4 - Water Networks</t>
  </si>
  <si>
    <t>8.5 - Water Purification</t>
  </si>
  <si>
    <t>8.6 - Building &amp; Housing</t>
  </si>
  <si>
    <t>8.7 - Project Management</t>
  </si>
  <si>
    <t>9.1 - Gteda</t>
  </si>
  <si>
    <t>1.7 - Council Expenditure</t>
  </si>
  <si>
    <t>MIG Operation/NDPG</t>
  </si>
  <si>
    <t>SETA</t>
  </si>
  <si>
    <t>Cleanest town competition</t>
  </si>
  <si>
    <t xml:space="preserve"> Municipal Infrastructure Grant (MIG)</t>
  </si>
  <si>
    <t>greenest town competition grant</t>
  </si>
  <si>
    <t>Cleanest town competit</t>
  </si>
  <si>
    <t>LIBERTY</t>
  </si>
  <si>
    <t xml:space="preserve">Excelsior 1000 </t>
  </si>
  <si>
    <t>1 year</t>
  </si>
  <si>
    <t>Variable</t>
  </si>
  <si>
    <t>N/a</t>
  </si>
  <si>
    <t>STANDARD BANK</t>
  </si>
  <si>
    <t>10 Years</t>
  </si>
  <si>
    <t>Interest earned</t>
  </si>
  <si>
    <t xml:space="preserve">More income generated than anticipated </t>
  </si>
  <si>
    <t>N/A</t>
  </si>
  <si>
    <t xml:space="preserve">Bad debts and depreciation </t>
  </si>
  <si>
    <t xml:space="preserve">Municipality had no provision for Bad dets and Depreciation due to unallocation </t>
  </si>
  <si>
    <t>Management to address issue on unallocation in due course</t>
  </si>
  <si>
    <t>730624 5527 084</t>
  </si>
  <si>
    <t>810909 0782 088</t>
  </si>
  <si>
    <t>Interest expense</t>
  </si>
  <si>
    <t>Bulk purchase</t>
  </si>
  <si>
    <t>Payment of outstanding Eskom invoice</t>
  </si>
  <si>
    <t xml:space="preserve">Interest paid for loan redemption </t>
  </si>
  <si>
    <t>Payments to be made timeously to avoid interest and huge debtor book</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</si>
</sst>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quot;R&quot;\ * #,##0.00_ ;_ &quot;R&quot;\ * \-#,##0.00_ ;_ &quot;R&quot;\ * &quot;-&quot;??_ ;_ @_ "/>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1C09]dd\ mmmm\ yyyy"/>
    <numFmt numFmtId="178" formatCode="[$-F800]dddd\,\ mmmm\ dd\,\ yyyy"/>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indexed="12"/>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rgb="FF0000FF"/>
      <name val="Arial"/>
      <family val="2"/>
    </font>
    <font>
      <u/>
      <sz val="10"/>
      <color rgb="FF80008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6">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8" fillId="0" borderId="0" applyNumberFormat="0" applyFon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39"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0" fontId="4"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165" fontId="4"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55" fillId="0" borderId="0" applyNumberFormat="0" applyFill="0" applyBorder="0" applyAlignment="0" applyProtection="0">
      <alignment vertical="top"/>
      <protection locked="0"/>
    </xf>
    <xf numFmtId="0" fontId="30" fillId="7" borderId="1" applyNumberFormat="0" applyAlignment="0" applyProtection="0"/>
    <xf numFmtId="0" fontId="31" fillId="0" borderId="6" applyNumberFormat="0" applyFill="0" applyAlignment="0" applyProtection="0"/>
    <xf numFmtId="0" fontId="32" fillId="22" borderId="0" applyNumberFormat="0" applyBorder="0" applyAlignment="0" applyProtection="0"/>
    <xf numFmtId="0" fontId="3" fillId="0" borderId="0"/>
    <xf numFmtId="0" fontId="3" fillId="0" borderId="0"/>
    <xf numFmtId="0" fontId="4" fillId="0" borderId="0"/>
    <xf numFmtId="178" fontId="4" fillId="0" borderId="0"/>
    <xf numFmtId="0" fontId="3" fillId="0" borderId="0"/>
    <xf numFmtId="0" fontId="4" fillId="0" borderId="0"/>
    <xf numFmtId="0" fontId="4" fillId="0" borderId="0"/>
    <xf numFmtId="0" fontId="4" fillId="0" borderId="0"/>
    <xf numFmtId="0" fontId="4" fillId="0" borderId="0"/>
    <xf numFmtId="0" fontId="4" fillId="23" borderId="7" applyNumberFormat="0" applyFont="0" applyAlignment="0" applyProtection="0"/>
    <xf numFmtId="0" fontId="33"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0" borderId="0" applyNumberForma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56" fillId="0" borderId="0" applyNumberFormat="0" applyFill="0" applyBorder="0" applyAlignment="0" applyProtection="0"/>
    <xf numFmtId="0" fontId="57" fillId="0" borderId="93" applyNumberFormat="0" applyFill="0" applyAlignment="0" applyProtection="0"/>
    <xf numFmtId="0" fontId="58" fillId="0" borderId="94" applyNumberFormat="0" applyFill="0" applyAlignment="0" applyProtection="0"/>
    <xf numFmtId="0" fontId="59" fillId="0" borderId="95" applyNumberFormat="0" applyFill="0" applyAlignment="0" applyProtection="0"/>
    <xf numFmtId="0" fontId="59" fillId="0" borderId="0" applyNumberFormat="0" applyFill="0" applyBorder="0" applyAlignment="0" applyProtection="0"/>
    <xf numFmtId="0" fontId="60" fillId="34" borderId="0" applyNumberFormat="0" applyBorder="0" applyAlignment="0" applyProtection="0"/>
    <xf numFmtId="0" fontId="61" fillId="35" borderId="0" applyNumberFormat="0" applyBorder="0" applyAlignment="0" applyProtection="0"/>
    <xf numFmtId="0" fontId="62" fillId="36" borderId="0" applyNumberFormat="0" applyBorder="0" applyAlignment="0" applyProtection="0"/>
    <xf numFmtId="0" fontId="63" fillId="37" borderId="96" applyNumberFormat="0" applyAlignment="0" applyProtection="0"/>
    <xf numFmtId="0" fontId="64" fillId="38" borderId="97" applyNumberFormat="0" applyAlignment="0" applyProtection="0"/>
    <xf numFmtId="0" fontId="65" fillId="38" borderId="96" applyNumberFormat="0" applyAlignment="0" applyProtection="0"/>
    <xf numFmtId="0" fontId="66" fillId="0" borderId="98" applyNumberFormat="0" applyFill="0" applyAlignment="0" applyProtection="0"/>
    <xf numFmtId="0" fontId="67" fillId="39" borderId="99" applyNumberFormat="0" applyAlignment="0" applyProtection="0"/>
    <xf numFmtId="0" fontId="68" fillId="0" borderId="0" applyNumberFormat="0" applyFill="0" applyBorder="0" applyAlignment="0" applyProtection="0"/>
    <xf numFmtId="0" fontId="1" fillId="40" borderId="100" applyNumberFormat="0" applyFont="0" applyAlignment="0" applyProtection="0"/>
    <xf numFmtId="0" fontId="69" fillId="0" borderId="0" applyNumberFormat="0" applyFill="0" applyBorder="0" applyAlignment="0" applyProtection="0"/>
    <xf numFmtId="0" fontId="70" fillId="0" borderId="101" applyNumberFormat="0" applyFill="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71"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71" fillId="64" borderId="0" applyNumberFormat="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cellStyleXfs>
  <cellXfs count="1072">
    <xf numFmtId="0" fontId="0" fillId="0" borderId="0" xfId="0"/>
    <xf numFmtId="0" fontId="5" fillId="0" borderId="0" xfId="0" applyFont="1"/>
    <xf numFmtId="0" fontId="5" fillId="0" borderId="10" xfId="0" applyFont="1" applyBorder="1" applyAlignment="1">
      <alignment horizontal="center"/>
    </xf>
    <xf numFmtId="0" fontId="5" fillId="0" borderId="0" xfId="0" applyFont="1" applyBorder="1" applyAlignment="1">
      <alignment horizontal="center"/>
    </xf>
    <xf numFmtId="0" fontId="5" fillId="0" borderId="0" xfId="0" applyFont="1" applyBorder="1"/>
    <xf numFmtId="0" fontId="7" fillId="0" borderId="0" xfId="0" applyFont="1" applyBorder="1"/>
    <xf numFmtId="0" fontId="5" fillId="0" borderId="0" xfId="0" applyFont="1" applyAlignment="1">
      <alignment horizontal="center"/>
    </xf>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applyAlignment="1">
      <alignment horizontal="center"/>
    </xf>
    <xf numFmtId="0" fontId="5" fillId="0" borderId="11" xfId="0" applyFont="1" applyBorder="1" applyAlignment="1">
      <alignment horizontal="center"/>
    </xf>
    <xf numFmtId="0" fontId="5" fillId="0" borderId="16" xfId="0" applyFont="1" applyBorder="1" applyAlignment="1">
      <alignment horizontal="center"/>
    </xf>
    <xf numFmtId="0" fontId="5" fillId="0" borderId="13" xfId="0" applyFont="1" applyBorder="1" applyAlignment="1">
      <alignment horizontal="center"/>
    </xf>
    <xf numFmtId="0" fontId="5" fillId="0" borderId="17" xfId="0" applyFont="1" applyBorder="1" applyAlignment="1">
      <alignment horizontal="center"/>
    </xf>
    <xf numFmtId="0" fontId="5" fillId="0" borderId="11" xfId="0" quotePrefix="1" applyFont="1" applyBorder="1"/>
    <xf numFmtId="0" fontId="5" fillId="0" borderId="0" xfId="0" quotePrefix="1" applyFont="1" applyBorder="1"/>
    <xf numFmtId="0" fontId="6" fillId="24" borderId="18" xfId="0" applyFont="1" applyFill="1" applyBorder="1" applyAlignment="1">
      <alignment horizontal="center"/>
    </xf>
    <xf numFmtId="0" fontId="10" fillId="0" borderId="19" xfId="0" applyFont="1" applyFill="1" applyBorder="1" applyAlignment="1">
      <alignment horizontal="center" vertical="top" wrapText="1"/>
    </xf>
    <xf numFmtId="0" fontId="10" fillId="0" borderId="15" xfId="0" applyFont="1" applyFill="1" applyBorder="1" applyAlignment="1">
      <alignment horizontal="center" vertical="center"/>
    </xf>
    <xf numFmtId="0" fontId="13" fillId="0" borderId="0" xfId="0" applyFont="1" applyBorder="1" applyAlignment="1">
      <alignment horizontal="left" vertical="top" wrapText="1"/>
    </xf>
    <xf numFmtId="0" fontId="13" fillId="0" borderId="0" xfId="0" applyFont="1" applyFill="1" applyBorder="1" applyAlignment="1">
      <alignment horizontal="left"/>
    </xf>
    <xf numFmtId="0" fontId="13" fillId="0" borderId="0" xfId="0" quotePrefix="1" applyFont="1" applyBorder="1" applyAlignment="1">
      <alignment horizontal="left" wrapText="1"/>
    </xf>
    <xf numFmtId="0" fontId="10" fillId="0" borderId="20" xfId="0" applyFont="1" applyFill="1" applyBorder="1" applyAlignment="1">
      <alignment horizontal="center" vertical="center" wrapText="1"/>
    </xf>
    <xf numFmtId="0" fontId="9" fillId="0" borderId="0" xfId="0" applyFont="1"/>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3" xfId="0" applyFont="1" applyFill="1" applyBorder="1" applyAlignment="1">
      <alignment horizontal="center" vertical="center" wrapText="1"/>
    </xf>
    <xf numFmtId="172" fontId="9" fillId="0" borderId="22" xfId="0" applyNumberFormat="1" applyFont="1" applyBorder="1"/>
    <xf numFmtId="172" fontId="9" fillId="0" borderId="23" xfId="0" applyNumberFormat="1" applyFont="1" applyBorder="1"/>
    <xf numFmtId="0" fontId="9" fillId="0" borderId="17" xfId="0" applyFont="1" applyBorder="1"/>
    <xf numFmtId="172" fontId="9" fillId="0" borderId="24" xfId="0" applyNumberFormat="1" applyFont="1" applyBorder="1"/>
    <xf numFmtId="0" fontId="13" fillId="0" borderId="0" xfId="0" applyFont="1" applyAlignment="1">
      <alignment horizontal="left"/>
    </xf>
    <xf numFmtId="0" fontId="10" fillId="0" borderId="16" xfId="0" applyFont="1" applyFill="1" applyBorder="1" applyAlignment="1">
      <alignment horizontal="left" vertical="center"/>
    </xf>
    <xf numFmtId="0" fontId="12" fillId="0" borderId="11" xfId="0" applyFont="1" applyBorder="1"/>
    <xf numFmtId="0" fontId="10" fillId="0" borderId="23" xfId="0" applyFont="1" applyBorder="1" applyAlignment="1">
      <alignment horizontal="center"/>
    </xf>
    <xf numFmtId="0" fontId="10" fillId="0" borderId="25" xfId="0" applyFont="1" applyBorder="1" applyAlignment="1">
      <alignment horizontal="center"/>
    </xf>
    <xf numFmtId="0" fontId="10" fillId="0" borderId="10" xfId="0" applyFont="1" applyBorder="1" applyAlignment="1">
      <alignment horizontal="center"/>
    </xf>
    <xf numFmtId="0" fontId="9" fillId="0" borderId="11" xfId="0" applyFont="1" applyBorder="1" applyAlignment="1">
      <alignment horizontal="left" indent="1"/>
    </xf>
    <xf numFmtId="170" fontId="9" fillId="0" borderId="10" xfId="0" applyNumberFormat="1" applyFont="1" applyBorder="1"/>
    <xf numFmtId="0" fontId="10" fillId="0" borderId="11" xfId="0" applyFont="1" applyBorder="1" applyAlignment="1">
      <alignment horizontal="left"/>
    </xf>
    <xf numFmtId="0" fontId="9" fillId="0" borderId="11" xfId="0" applyFont="1" applyBorder="1"/>
    <xf numFmtId="173" fontId="9" fillId="0" borderId="0" xfId="0" applyNumberFormat="1" applyFont="1" applyBorder="1"/>
    <xf numFmtId="173" fontId="9" fillId="0" borderId="22" xfId="0" applyNumberFormat="1" applyFont="1" applyBorder="1"/>
    <xf numFmtId="173" fontId="9" fillId="0" borderId="13" xfId="0" applyNumberFormat="1" applyFont="1" applyBorder="1"/>
    <xf numFmtId="173" fontId="9" fillId="0" borderId="26" xfId="0" applyNumberFormat="1" applyFont="1" applyBorder="1"/>
    <xf numFmtId="173" fontId="9" fillId="0" borderId="22" xfId="0" applyNumberFormat="1" applyFont="1" applyFill="1" applyBorder="1"/>
    <xf numFmtId="170" fontId="9" fillId="0" borderId="13" xfId="0" applyNumberFormat="1" applyFont="1" applyFill="1" applyBorder="1"/>
    <xf numFmtId="173" fontId="10" fillId="0" borderId="0" xfId="0" applyNumberFormat="1" applyFont="1" applyBorder="1"/>
    <xf numFmtId="173" fontId="10" fillId="0" borderId="22" xfId="0" applyNumberFormat="1" applyFont="1" applyBorder="1"/>
    <xf numFmtId="173" fontId="10" fillId="0" borderId="26" xfId="0" applyNumberFormat="1" applyFont="1" applyBorder="1"/>
    <xf numFmtId="170" fontId="10" fillId="0" borderId="10" xfId="0" applyNumberFormat="1" applyFont="1" applyBorder="1"/>
    <xf numFmtId="0" fontId="10" fillId="0" borderId="27" xfId="0" applyFont="1" applyBorder="1"/>
    <xf numFmtId="173" fontId="10" fillId="0" borderId="28" xfId="0" applyNumberFormat="1" applyFont="1" applyBorder="1"/>
    <xf numFmtId="173" fontId="10" fillId="0" borderId="29" xfId="0" applyNumberFormat="1" applyFont="1" applyBorder="1"/>
    <xf numFmtId="173" fontId="10" fillId="0" borderId="30" xfId="0" applyNumberFormat="1" applyFont="1" applyBorder="1"/>
    <xf numFmtId="0" fontId="14" fillId="0" borderId="0" xfId="0" applyFont="1" applyBorder="1"/>
    <xf numFmtId="0" fontId="9" fillId="0" borderId="0" xfId="0" applyFont="1" applyBorder="1" applyAlignment="1">
      <alignment horizontal="center"/>
    </xf>
    <xf numFmtId="170" fontId="10" fillId="0" borderId="0" xfId="0" applyNumberFormat="1" applyFont="1" applyFill="1" applyBorder="1"/>
    <xf numFmtId="0" fontId="13" fillId="0" borderId="0" xfId="0" quotePrefix="1" applyFont="1" applyBorder="1"/>
    <xf numFmtId="0" fontId="10" fillId="0" borderId="0" xfId="0" applyFont="1" applyBorder="1"/>
    <xf numFmtId="170" fontId="10" fillId="0" borderId="0" xfId="0" applyNumberFormat="1" applyFont="1" applyBorder="1"/>
    <xf numFmtId="0" fontId="13" fillId="0" borderId="0" xfId="0" applyFont="1" applyBorder="1" applyAlignment="1">
      <alignment horizontal="left"/>
    </xf>
    <xf numFmtId="0" fontId="13" fillId="0" borderId="0" xfId="0" applyFont="1" applyBorder="1" applyAlignment="1">
      <alignment horizontal="center"/>
    </xf>
    <xf numFmtId="0" fontId="13" fillId="0" borderId="0" xfId="0" applyFont="1" applyBorder="1" applyAlignment="1">
      <alignment horizontal="right"/>
    </xf>
    <xf numFmtId="166" fontId="9" fillId="0" borderId="0" xfId="28" applyNumberFormat="1" applyFont="1"/>
    <xf numFmtId="0" fontId="9" fillId="0" borderId="0" xfId="0" applyFont="1" applyBorder="1"/>
    <xf numFmtId="0" fontId="9" fillId="0" borderId="0" xfId="0" applyFont="1" applyAlignment="1">
      <alignment horizontal="center"/>
    </xf>
    <xf numFmtId="166" fontId="9" fillId="0" borderId="0" xfId="28" applyNumberFormat="1" applyFont="1" applyAlignment="1">
      <alignment horizontal="center"/>
    </xf>
    <xf numFmtId="169" fontId="9" fillId="0" borderId="0" xfId="42" applyNumberFormat="1" applyFont="1" applyAlignment="1">
      <alignment horizontal="center"/>
    </xf>
    <xf numFmtId="166" fontId="9" fillId="0" borderId="0" xfId="0" applyNumberFormat="1" applyFont="1"/>
    <xf numFmtId="169" fontId="9" fillId="0" borderId="0" xfId="0" applyNumberFormat="1" applyFont="1"/>
    <xf numFmtId="173" fontId="10" fillId="0" borderId="31" xfId="0" applyNumberFormat="1" applyFont="1" applyBorder="1"/>
    <xf numFmtId="173" fontId="10" fillId="0" borderId="32" xfId="0" applyNumberFormat="1" applyFont="1" applyBorder="1"/>
    <xf numFmtId="169" fontId="9" fillId="0" borderId="0" xfId="0" applyNumberFormat="1" applyFont="1" applyAlignment="1">
      <alignment horizontal="center"/>
    </xf>
    <xf numFmtId="173" fontId="10" fillId="0" borderId="24" xfId="0" applyNumberFormat="1" applyFont="1" applyBorder="1"/>
    <xf numFmtId="173" fontId="10" fillId="0" borderId="33" xfId="0" applyNumberFormat="1" applyFont="1" applyBorder="1"/>
    <xf numFmtId="0" fontId="14" fillId="0" borderId="0" xfId="0" applyFont="1" applyBorder="1" applyAlignment="1">
      <alignment horizontal="left"/>
    </xf>
    <xf numFmtId="170" fontId="11" fillId="0" borderId="0" xfId="0" applyNumberFormat="1" applyFont="1" applyBorder="1"/>
    <xf numFmtId="0" fontId="13" fillId="0" borderId="0" xfId="0" applyFont="1" applyBorder="1"/>
    <xf numFmtId="0" fontId="13" fillId="0" borderId="11" xfId="0" applyFont="1" applyBorder="1" applyAlignment="1">
      <alignment horizontal="right"/>
    </xf>
    <xf numFmtId="0" fontId="9" fillId="0" borderId="24" xfId="0" applyFont="1" applyFill="1" applyBorder="1" applyAlignment="1">
      <alignment horizontal="center" vertical="center"/>
    </xf>
    <xf numFmtId="173" fontId="10" fillId="0" borderId="34" xfId="0" applyNumberFormat="1" applyFont="1" applyBorder="1"/>
    <xf numFmtId="170" fontId="9" fillId="0" borderId="0" xfId="0" applyNumberFormat="1" applyFont="1" applyBorder="1"/>
    <xf numFmtId="170" fontId="9" fillId="0" borderId="0" xfId="0" applyNumberFormat="1" applyFont="1"/>
    <xf numFmtId="0" fontId="9" fillId="0" borderId="11" xfId="0" applyFont="1" applyFill="1" applyBorder="1" applyAlignment="1">
      <alignment horizontal="left" indent="1"/>
    </xf>
    <xf numFmtId="0" fontId="10" fillId="0" borderId="11" xfId="0" applyFont="1" applyBorder="1"/>
    <xf numFmtId="0" fontId="10" fillId="0" borderId="11" xfId="0" applyFont="1" applyFill="1" applyBorder="1"/>
    <xf numFmtId="0" fontId="13" fillId="0" borderId="11" xfId="0" applyFont="1" applyBorder="1"/>
    <xf numFmtId="168" fontId="10" fillId="0" borderId="0" xfId="0" applyNumberFormat="1" applyFont="1" applyBorder="1"/>
    <xf numFmtId="0" fontId="9" fillId="0" borderId="16" xfId="0" applyFont="1" applyBorder="1"/>
    <xf numFmtId="0" fontId="10" fillId="0" borderId="35" xfId="0" applyFont="1" applyBorder="1"/>
    <xf numFmtId="165" fontId="9" fillId="0" borderId="0" xfId="28" applyFont="1" applyBorder="1"/>
    <xf numFmtId="0" fontId="10" fillId="0" borderId="16" xfId="0" applyFont="1" applyBorder="1"/>
    <xf numFmtId="0" fontId="14" fillId="0" borderId="0" xfId="0" applyFont="1"/>
    <xf numFmtId="0" fontId="9" fillId="0" borderId="0" xfId="0" applyFont="1" applyFill="1" applyBorder="1"/>
    <xf numFmtId="170" fontId="9" fillId="0" borderId="0" xfId="0" applyNumberFormat="1" applyFont="1" applyFill="1" applyBorder="1"/>
    <xf numFmtId="9" fontId="9" fillId="0" borderId="0" xfId="42" applyFont="1"/>
    <xf numFmtId="173" fontId="9" fillId="0" borderId="36" xfId="0" applyNumberFormat="1" applyFont="1" applyBorder="1"/>
    <xf numFmtId="0" fontId="9" fillId="0" borderId="0" xfId="0" applyFont="1" applyFill="1"/>
    <xf numFmtId="173" fontId="9" fillId="0" borderId="36" xfId="0" applyNumberFormat="1" applyFont="1" applyFill="1" applyBorder="1"/>
    <xf numFmtId="173" fontId="10" fillId="0" borderId="22" xfId="0" applyNumberFormat="1" applyFont="1" applyFill="1" applyBorder="1"/>
    <xf numFmtId="170" fontId="9" fillId="0" borderId="22" xfId="0" applyNumberFormat="1" applyFont="1" applyBorder="1"/>
    <xf numFmtId="170" fontId="9" fillId="0" borderId="26" xfId="0" applyNumberFormat="1" applyFont="1" applyBorder="1"/>
    <xf numFmtId="0" fontId="9" fillId="0" borderId="11" xfId="0" applyFont="1" applyFill="1" applyBorder="1"/>
    <xf numFmtId="0" fontId="10" fillId="0" borderId="11" xfId="0" applyFont="1" applyBorder="1" applyAlignment="1">
      <alignment horizontal="left" indent="1"/>
    </xf>
    <xf numFmtId="0" fontId="9" fillId="0" borderId="11" xfId="0" applyFont="1" applyBorder="1" applyAlignment="1">
      <alignment horizontal="left" indent="2"/>
    </xf>
    <xf numFmtId="173" fontId="9" fillId="0" borderId="37" xfId="0" applyNumberFormat="1" applyFont="1" applyBorder="1"/>
    <xf numFmtId="173" fontId="10" fillId="0" borderId="10" xfId="0" applyNumberFormat="1" applyFont="1" applyBorder="1"/>
    <xf numFmtId="173" fontId="10" fillId="0" borderId="37" xfId="0" applyNumberFormat="1" applyFont="1" applyBorder="1"/>
    <xf numFmtId="0" fontId="9" fillId="0" borderId="11" xfId="0" applyFont="1" applyBorder="1" applyAlignment="1">
      <alignment horizontal="left" wrapText="1" indent="1"/>
    </xf>
    <xf numFmtId="173" fontId="10" fillId="0" borderId="38" xfId="0" applyNumberFormat="1" applyFont="1" applyBorder="1"/>
    <xf numFmtId="0" fontId="10" fillId="0" borderId="27" xfId="0" applyFont="1" applyFill="1" applyBorder="1"/>
    <xf numFmtId="0" fontId="9" fillId="0" borderId="0" xfId="0" applyFont="1" applyFill="1" applyBorder="1" applyAlignment="1">
      <alignment horizontal="center"/>
    </xf>
    <xf numFmtId="173" fontId="9" fillId="0" borderId="24" xfId="0" applyNumberFormat="1" applyFont="1" applyBorder="1"/>
    <xf numFmtId="173" fontId="9" fillId="0" borderId="33" xfId="0" applyNumberFormat="1" applyFont="1" applyBorder="1"/>
    <xf numFmtId="170" fontId="9" fillId="0" borderId="0" xfId="28" applyNumberFormat="1" applyFont="1" applyBorder="1"/>
    <xf numFmtId="166" fontId="9" fillId="0" borderId="0" xfId="28" applyNumberFormat="1" applyFont="1" applyBorder="1"/>
    <xf numFmtId="0" fontId="9" fillId="0" borderId="19" xfId="0" applyFont="1" applyBorder="1" applyAlignment="1">
      <alignment horizontal="center"/>
    </xf>
    <xf numFmtId="169" fontId="9" fillId="0" borderId="10" xfId="42" applyNumberFormat="1" applyFont="1" applyFill="1" applyBorder="1" applyAlignment="1">
      <alignment horizontal="center" vertical="top" wrapText="1"/>
    </xf>
    <xf numFmtId="0" fontId="13" fillId="0" borderId="0" xfId="0" applyFont="1"/>
    <xf numFmtId="0" fontId="12" fillId="0" borderId="15" xfId="0" applyFont="1" applyBorder="1" applyAlignment="1">
      <alignment horizontal="left" wrapText="1"/>
    </xf>
    <xf numFmtId="0" fontId="9" fillId="0" borderId="11" xfId="0" applyFont="1" applyBorder="1" applyAlignment="1">
      <alignment horizontal="left" vertical="top" wrapText="1"/>
    </xf>
    <xf numFmtId="169" fontId="9" fillId="0" borderId="22" xfId="42" applyNumberFormat="1" applyFont="1" applyFill="1" applyBorder="1" applyAlignment="1">
      <alignment horizontal="center" vertical="top" wrapText="1"/>
    </xf>
    <xf numFmtId="169" fontId="9" fillId="0" borderId="0" xfId="42" applyNumberFormat="1" applyFont="1" applyFill="1" applyBorder="1" applyAlignment="1">
      <alignment horizontal="center" vertical="top" wrapText="1"/>
    </xf>
    <xf numFmtId="0" fontId="9" fillId="0" borderId="11" xfId="0" applyFont="1" applyBorder="1" applyAlignment="1">
      <alignment horizontal="left" vertical="top" wrapText="1" indent="1"/>
    </xf>
    <xf numFmtId="0" fontId="12" fillId="0" borderId="11" xfId="0" applyFont="1" applyBorder="1" applyAlignment="1">
      <alignment horizontal="left" wrapText="1"/>
    </xf>
    <xf numFmtId="0" fontId="12" fillId="0" borderId="11" xfId="0" applyFont="1" applyBorder="1" applyAlignment="1">
      <alignment horizontal="left" vertical="top" wrapText="1"/>
    </xf>
    <xf numFmtId="0" fontId="9" fillId="0" borderId="16" xfId="0" applyFont="1" applyBorder="1" applyAlignment="1">
      <alignment horizontal="left" indent="1"/>
    </xf>
    <xf numFmtId="0" fontId="9" fillId="0" borderId="39"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9" fontId="9" fillId="0" borderId="24" xfId="42" applyFont="1" applyBorder="1" applyAlignment="1">
      <alignment horizontal="center"/>
    </xf>
    <xf numFmtId="173" fontId="9" fillId="0" borderId="10" xfId="0" applyNumberFormat="1" applyFont="1" applyBorder="1"/>
    <xf numFmtId="166" fontId="9" fillId="0" borderId="0" xfId="28" applyNumberFormat="1" applyFont="1" applyFill="1" applyBorder="1"/>
    <xf numFmtId="0" fontId="12" fillId="0" borderId="40" xfId="0" applyFont="1" applyBorder="1"/>
    <xf numFmtId="0" fontId="10" fillId="0" borderId="41" xfId="0" applyFont="1" applyFill="1" applyBorder="1" applyAlignment="1">
      <alignment horizontal="centerContinuous" vertical="center" wrapText="1"/>
    </xf>
    <xf numFmtId="0" fontId="10" fillId="0" borderId="20" xfId="0" applyFont="1" applyFill="1" applyBorder="1" applyAlignment="1">
      <alignment horizontal="centerContinuous" vertical="center" wrapText="1"/>
    </xf>
    <xf numFmtId="0" fontId="10" fillId="0" borderId="42" xfId="0" applyFont="1" applyFill="1" applyBorder="1" applyAlignment="1">
      <alignment horizontal="centerContinuous" vertical="center" wrapText="1"/>
    </xf>
    <xf numFmtId="0" fontId="10" fillId="0" borderId="3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173" fontId="9" fillId="0" borderId="46" xfId="0" applyNumberFormat="1" applyFont="1" applyBorder="1"/>
    <xf numFmtId="173" fontId="10" fillId="0" borderId="47" xfId="0" applyNumberFormat="1" applyFont="1" applyBorder="1"/>
    <xf numFmtId="9" fontId="10" fillId="0" borderId="22" xfId="42" applyFont="1" applyBorder="1" applyAlignment="1">
      <alignment horizontal="center"/>
    </xf>
    <xf numFmtId="9" fontId="10" fillId="0" borderId="0" xfId="42" applyFont="1" applyBorder="1" applyAlignment="1">
      <alignment horizontal="center"/>
    </xf>
    <xf numFmtId="0" fontId="13" fillId="0" borderId="0" xfId="0" applyFont="1" applyFill="1" applyAlignment="1">
      <alignment horizontal="center"/>
    </xf>
    <xf numFmtId="0" fontId="10" fillId="0" borderId="4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39" xfId="0" applyNumberFormat="1" applyFont="1" applyBorder="1"/>
    <xf numFmtId="0" fontId="9" fillId="0" borderId="10" xfId="0" applyNumberFormat="1" applyFont="1" applyBorder="1" applyAlignment="1">
      <alignment horizontal="left" indent="1"/>
    </xf>
    <xf numFmtId="0" fontId="10" fillId="0" borderId="10" xfId="0" applyNumberFormat="1" applyFont="1" applyBorder="1"/>
    <xf numFmtId="0" fontId="9" fillId="0" borderId="19" xfId="0" applyNumberFormat="1" applyFont="1" applyBorder="1"/>
    <xf numFmtId="0" fontId="12" fillId="0" borderId="10" xfId="0" applyNumberFormat="1" applyFont="1" applyBorder="1"/>
    <xf numFmtId="171" fontId="9" fillId="0" borderId="0" xfId="0" applyNumberFormat="1" applyFont="1"/>
    <xf numFmtId="0" fontId="9" fillId="0" borderId="19" xfId="0" applyFont="1" applyBorder="1"/>
    <xf numFmtId="0" fontId="10" fillId="0" borderId="42" xfId="0" applyFont="1" applyFill="1" applyBorder="1" applyAlignment="1">
      <alignment horizontal="center" vertical="center" wrapText="1"/>
    </xf>
    <xf numFmtId="0" fontId="10" fillId="0" borderId="10" xfId="0" applyFont="1" applyFill="1" applyBorder="1" applyAlignment="1">
      <alignment horizontal="center" vertical="center" wrapText="1"/>
    </xf>
    <xf numFmtId="173" fontId="9" fillId="0" borderId="38" xfId="0" applyNumberFormat="1" applyFont="1" applyBorder="1"/>
    <xf numFmtId="173" fontId="9" fillId="0" borderId="31" xfId="0" applyNumberFormat="1" applyFont="1" applyBorder="1"/>
    <xf numFmtId="0" fontId="8" fillId="0" borderId="0" xfId="0" applyFont="1" applyFill="1" applyBorder="1" applyAlignment="1">
      <alignment horizontal="left"/>
    </xf>
    <xf numFmtId="0" fontId="10" fillId="0" borderId="3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9" fillId="0" borderId="22" xfId="0" applyFont="1" applyBorder="1"/>
    <xf numFmtId="0" fontId="9" fillId="0" borderId="10" xfId="0" applyFont="1" applyBorder="1"/>
    <xf numFmtId="0" fontId="10" fillId="0" borderId="0"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10" fillId="0" borderId="39" xfId="0" applyFont="1" applyBorder="1" applyAlignment="1">
      <alignment horizontal="center"/>
    </xf>
    <xf numFmtId="0" fontId="9" fillId="0" borderId="10" xfId="0" applyFont="1" applyFill="1" applyBorder="1" applyAlignment="1">
      <alignment horizontal="center"/>
    </xf>
    <xf numFmtId="0" fontId="9" fillId="0" borderId="10" xfId="0" applyFont="1" applyFill="1" applyBorder="1"/>
    <xf numFmtId="9" fontId="10" fillId="0" borderId="10" xfId="42" applyFont="1" applyBorder="1" applyAlignment="1">
      <alignment horizontal="center"/>
    </xf>
    <xf numFmtId="0" fontId="9" fillId="0" borderId="10" xfId="0" applyFont="1" applyBorder="1" applyAlignment="1">
      <alignment horizontal="left" vertical="top" wrapText="1"/>
    </xf>
    <xf numFmtId="0" fontId="15" fillId="0" borderId="10" xfId="0" applyFont="1" applyBorder="1" applyAlignment="1">
      <alignment horizontal="center"/>
    </xf>
    <xf numFmtId="170" fontId="9" fillId="0" borderId="19" xfId="0" applyNumberFormat="1" applyFont="1" applyBorder="1"/>
    <xf numFmtId="0" fontId="9" fillId="0" borderId="19" xfId="0" applyFont="1" applyFill="1" applyBorder="1"/>
    <xf numFmtId="0" fontId="9" fillId="0" borderId="19" xfId="0" applyFont="1" applyBorder="1" applyAlignment="1">
      <alignment horizontal="left" vertical="top" wrapText="1"/>
    </xf>
    <xf numFmtId="0" fontId="9" fillId="0" borderId="39" xfId="0" applyFont="1" applyBorder="1"/>
    <xf numFmtId="0" fontId="12" fillId="0" borderId="39" xfId="0" applyFont="1" applyBorder="1"/>
    <xf numFmtId="170" fontId="10" fillId="0" borderId="10" xfId="0" applyNumberFormat="1" applyFont="1" applyFill="1" applyBorder="1"/>
    <xf numFmtId="0" fontId="12" fillId="0" borderId="15" xfId="0" applyFont="1" applyBorder="1"/>
    <xf numFmtId="0" fontId="9" fillId="0" borderId="0" xfId="0" applyFont="1" applyBorder="1" applyAlignment="1">
      <alignment horizontal="left"/>
    </xf>
    <xf numFmtId="0" fontId="9" fillId="0" borderId="13" xfId="0" applyFont="1" applyBorder="1"/>
    <xf numFmtId="0" fontId="9" fillId="0" borderId="11" xfId="0" applyFont="1" applyBorder="1" applyAlignment="1"/>
    <xf numFmtId="0" fontId="9" fillId="0" borderId="39" xfId="0" applyFont="1" applyBorder="1" applyAlignment="1">
      <alignment horizontal="center"/>
    </xf>
    <xf numFmtId="0" fontId="9" fillId="0" borderId="19"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46" xfId="0" applyFont="1" applyFill="1" applyBorder="1" applyAlignment="1">
      <alignment horizontal="center" vertical="center" wrapText="1"/>
    </xf>
    <xf numFmtId="173" fontId="9" fillId="0" borderId="50" xfId="0" applyNumberFormat="1" applyFont="1" applyBorder="1"/>
    <xf numFmtId="0" fontId="9" fillId="0" borderId="26" xfId="0" applyFont="1" applyFill="1" applyBorder="1"/>
    <xf numFmtId="0" fontId="9" fillId="0" borderId="22" xfId="0" applyFont="1" applyFill="1" applyBorder="1"/>
    <xf numFmtId="0" fontId="9" fillId="0" borderId="46" xfId="0" applyFont="1" applyFill="1" applyBorder="1"/>
    <xf numFmtId="173" fontId="10" fillId="0" borderId="46" xfId="0" applyNumberFormat="1" applyFont="1" applyBorder="1"/>
    <xf numFmtId="173" fontId="9" fillId="0" borderId="51" xfId="0" applyNumberFormat="1" applyFont="1" applyBorder="1"/>
    <xf numFmtId="172" fontId="9" fillId="0" borderId="26" xfId="0" applyNumberFormat="1" applyFont="1" applyBorder="1"/>
    <xf numFmtId="172" fontId="9" fillId="0" borderId="10" xfId="0" applyNumberFormat="1" applyFont="1" applyBorder="1"/>
    <xf numFmtId="171" fontId="9" fillId="0" borderId="19" xfId="0" applyNumberFormat="1" applyFont="1" applyFill="1" applyBorder="1"/>
    <xf numFmtId="0" fontId="10" fillId="0" borderId="52" xfId="0" applyFont="1" applyFill="1" applyBorder="1" applyAlignment="1">
      <alignment horizontal="center" vertical="center" wrapText="1"/>
    </xf>
    <xf numFmtId="9" fontId="9" fillId="0" borderId="22" xfId="42" applyFont="1" applyFill="1" applyBorder="1" applyAlignment="1">
      <alignment horizontal="center"/>
    </xf>
    <xf numFmtId="172" fontId="9" fillId="0" borderId="46" xfId="0" applyNumberFormat="1" applyFont="1" applyBorder="1"/>
    <xf numFmtId="171" fontId="9" fillId="0" borderId="33" xfId="0" applyNumberFormat="1" applyFont="1" applyFill="1" applyBorder="1"/>
    <xf numFmtId="171" fontId="9" fillId="0" borderId="24" xfId="0" applyNumberFormat="1" applyFont="1" applyFill="1" applyBorder="1"/>
    <xf numFmtId="171" fontId="9" fillId="0" borderId="50" xfId="0" applyNumberFormat="1" applyFont="1" applyFill="1" applyBorder="1"/>
    <xf numFmtId="9" fontId="10" fillId="0" borderId="43" xfId="42" applyFont="1" applyFill="1" applyBorder="1" applyAlignment="1">
      <alignment horizontal="center" vertical="center" wrapText="1"/>
    </xf>
    <xf numFmtId="174" fontId="10" fillId="0" borderId="22" xfId="42" applyNumberFormat="1" applyFont="1" applyBorder="1"/>
    <xf numFmtId="174" fontId="9" fillId="0" borderId="22" xfId="42" applyNumberFormat="1" applyFont="1" applyBorder="1"/>
    <xf numFmtId="174" fontId="9" fillId="0" borderId="36" xfId="42" applyNumberFormat="1" applyFont="1" applyBorder="1"/>
    <xf numFmtId="172" fontId="9" fillId="0" borderId="19" xfId="0" applyNumberFormat="1" applyFont="1" applyBorder="1"/>
    <xf numFmtId="172" fontId="9" fillId="0" borderId="33" xfId="0" applyNumberFormat="1" applyFont="1" applyBorder="1"/>
    <xf numFmtId="174" fontId="9" fillId="0" borderId="24" xfId="42" applyNumberFormat="1" applyFont="1" applyBorder="1"/>
    <xf numFmtId="172" fontId="9" fillId="0" borderId="50" xfId="0" applyNumberFormat="1" applyFont="1" applyBorder="1"/>
    <xf numFmtId="172" fontId="9" fillId="0" borderId="39" xfId="0" applyNumberFormat="1" applyFont="1" applyBorder="1"/>
    <xf numFmtId="172" fontId="9" fillId="0" borderId="25" xfId="0" applyNumberFormat="1" applyFont="1" applyBorder="1"/>
    <xf numFmtId="174" fontId="9" fillId="0" borderId="23" xfId="42" applyNumberFormat="1" applyFont="1" applyBorder="1"/>
    <xf numFmtId="172" fontId="9" fillId="0" borderId="53" xfId="0" applyNumberFormat="1" applyFont="1" applyBorder="1"/>
    <xf numFmtId="172" fontId="9" fillId="25" borderId="22" xfId="0" applyNumberFormat="1" applyFont="1" applyFill="1" applyBorder="1"/>
    <xf numFmtId="172" fontId="9" fillId="25" borderId="24" xfId="0" applyNumberFormat="1" applyFont="1" applyFill="1" applyBorder="1"/>
    <xf numFmtId="174" fontId="9" fillId="25" borderId="22" xfId="42" applyNumberFormat="1" applyFont="1" applyFill="1" applyBorder="1"/>
    <xf numFmtId="174" fontId="9" fillId="25" borderId="24" xfId="42" applyNumberFormat="1" applyFont="1" applyFill="1" applyBorder="1"/>
    <xf numFmtId="0" fontId="13" fillId="0" borderId="0" xfId="0" applyFont="1" applyFill="1"/>
    <xf numFmtId="0" fontId="9" fillId="0" borderId="33" xfId="0" applyFont="1" applyFill="1" applyBorder="1" applyAlignment="1">
      <alignment horizontal="center" vertical="center"/>
    </xf>
    <xf numFmtId="0" fontId="9" fillId="0" borderId="50" xfId="0" applyFont="1" applyFill="1" applyBorder="1" applyAlignment="1">
      <alignment horizontal="center" vertical="center"/>
    </xf>
    <xf numFmtId="0" fontId="10" fillId="0" borderId="11" xfId="0" applyFont="1" applyFill="1" applyBorder="1" applyAlignment="1">
      <alignment horizontal="left" vertical="center"/>
    </xf>
    <xf numFmtId="173" fontId="9" fillId="0" borderId="19" xfId="0" applyNumberFormat="1" applyFont="1" applyBorder="1"/>
    <xf numFmtId="0" fontId="10" fillId="0" borderId="53" xfId="0" applyFont="1" applyBorder="1" applyAlignment="1">
      <alignment horizontal="center"/>
    </xf>
    <xf numFmtId="9" fontId="10" fillId="0" borderId="22" xfId="42" applyFont="1" applyFill="1" applyBorder="1" applyAlignment="1">
      <alignment horizontal="center" vertical="center" wrapText="1"/>
    </xf>
    <xf numFmtId="0" fontId="9" fillId="0" borderId="26" xfId="0" applyFont="1" applyBorder="1"/>
    <xf numFmtId="0" fontId="10" fillId="0" borderId="21" xfId="0" applyFont="1" applyFill="1" applyBorder="1" applyAlignment="1">
      <alignment horizontal="centerContinuous" vertical="center" wrapText="1"/>
    </xf>
    <xf numFmtId="0" fontId="10" fillId="0" borderId="44" xfId="0" applyFont="1" applyFill="1" applyBorder="1" applyAlignment="1">
      <alignment horizontal="centerContinuous" vertical="center" wrapText="1"/>
    </xf>
    <xf numFmtId="0" fontId="10" fillId="0" borderId="48" xfId="0" applyFont="1" applyFill="1" applyBorder="1" applyAlignment="1">
      <alignment horizontal="centerContinuous" vertical="center" wrapText="1"/>
    </xf>
    <xf numFmtId="0" fontId="9" fillId="0" borderId="54" xfId="0" applyNumberFormat="1" applyFont="1" applyBorder="1" applyAlignment="1">
      <alignment horizontal="left" indent="1"/>
    </xf>
    <xf numFmtId="0" fontId="9" fillId="0" borderId="55" xfId="0" applyFont="1" applyBorder="1" applyAlignment="1">
      <alignment horizontal="center"/>
    </xf>
    <xf numFmtId="173" fontId="10" fillId="0" borderId="50" xfId="0" applyNumberFormat="1" applyFont="1" applyBorder="1"/>
    <xf numFmtId="173" fontId="10" fillId="0" borderId="56" xfId="0" applyNumberFormat="1" applyFont="1" applyBorder="1"/>
    <xf numFmtId="0" fontId="9" fillId="0" borderId="38" xfId="0" applyFont="1" applyBorder="1" applyAlignment="1">
      <alignment horizontal="center"/>
    </xf>
    <xf numFmtId="0" fontId="10" fillId="0" borderId="26" xfId="0" applyFont="1" applyBorder="1" applyAlignment="1">
      <alignment horizontal="center"/>
    </xf>
    <xf numFmtId="0" fontId="10" fillId="0" borderId="22" xfId="0" applyFont="1" applyBorder="1" applyAlignment="1">
      <alignment horizontal="center"/>
    </xf>
    <xf numFmtId="0" fontId="10" fillId="0" borderId="46" xfId="0" applyFont="1" applyBorder="1" applyAlignment="1">
      <alignment horizontal="center"/>
    </xf>
    <xf numFmtId="0" fontId="9" fillId="0" borderId="33" xfId="0" applyFont="1" applyBorder="1"/>
    <xf numFmtId="0" fontId="9" fillId="0" borderId="24" xfId="0" applyFont="1" applyBorder="1"/>
    <xf numFmtId="9" fontId="10" fillId="0" borderId="24" xfId="42" applyFont="1" applyFill="1" applyBorder="1" applyAlignment="1">
      <alignment horizontal="center" vertical="center"/>
    </xf>
    <xf numFmtId="173" fontId="10" fillId="0" borderId="55" xfId="0" applyNumberFormat="1" applyFont="1" applyBorder="1"/>
    <xf numFmtId="173" fontId="10" fillId="0" borderId="19" xfId="0" applyNumberFormat="1" applyFont="1" applyBorder="1"/>
    <xf numFmtId="0" fontId="10" fillId="0" borderId="57" xfId="0" applyFont="1" applyFill="1" applyBorder="1" applyAlignment="1">
      <alignment horizontal="centerContinuous" vertical="center" wrapText="1"/>
    </xf>
    <xf numFmtId="0" fontId="9" fillId="0" borderId="58" xfId="0" applyFont="1" applyBorder="1"/>
    <xf numFmtId="0" fontId="9" fillId="0" borderId="59" xfId="0" applyFont="1" applyBorder="1" applyAlignment="1">
      <alignment horizontal="left" indent="1"/>
    </xf>
    <xf numFmtId="0" fontId="9" fillId="0" borderId="54" xfId="0" applyFont="1" applyBorder="1" applyAlignment="1">
      <alignment horizontal="center"/>
    </xf>
    <xf numFmtId="173" fontId="9" fillId="0" borderId="54" xfId="0" applyNumberFormat="1" applyFont="1" applyBorder="1"/>
    <xf numFmtId="0" fontId="10" fillId="0" borderId="11" xfId="0" applyFont="1" applyBorder="1" applyAlignment="1">
      <alignment vertical="top" wrapText="1"/>
    </xf>
    <xf numFmtId="0" fontId="9" fillId="0" borderId="10" xfId="0" applyFont="1" applyBorder="1" applyAlignment="1">
      <alignment horizontal="center" vertical="top"/>
    </xf>
    <xf numFmtId="173" fontId="10" fillId="0" borderId="10" xfId="0" applyNumberFormat="1" applyFont="1" applyBorder="1" applyAlignment="1">
      <alignment vertical="top"/>
    </xf>
    <xf numFmtId="173" fontId="10" fillId="0" borderId="26" xfId="0" applyNumberFormat="1" applyFont="1" applyBorder="1" applyAlignment="1">
      <alignment vertical="top"/>
    </xf>
    <xf numFmtId="173" fontId="10" fillId="0" borderId="22" xfId="0" applyNumberFormat="1" applyFont="1" applyBorder="1" applyAlignment="1">
      <alignment vertical="top"/>
    </xf>
    <xf numFmtId="173" fontId="10" fillId="0" borderId="46" xfId="0" applyNumberFormat="1" applyFont="1" applyBorder="1" applyAlignment="1">
      <alignment vertical="top"/>
    </xf>
    <xf numFmtId="0" fontId="9" fillId="0" borderId="59" xfId="0" applyFont="1" applyBorder="1" applyAlignment="1">
      <alignment horizontal="left" wrapText="1" indent="1"/>
    </xf>
    <xf numFmtId="0" fontId="10" fillId="0" borderId="60" xfId="0" applyFont="1" applyFill="1" applyBorder="1" applyAlignment="1">
      <alignment horizontal="center" vertical="center" wrapText="1"/>
    </xf>
    <xf numFmtId="173" fontId="9" fillId="0" borderId="45" xfId="0" applyNumberFormat="1" applyFont="1" applyBorder="1"/>
    <xf numFmtId="173" fontId="10" fillId="0" borderId="45" xfId="0" applyNumberFormat="1" applyFont="1" applyBorder="1"/>
    <xf numFmtId="173" fontId="10" fillId="0" borderId="61" xfId="0" applyNumberFormat="1" applyFont="1" applyBorder="1"/>
    <xf numFmtId="173" fontId="9" fillId="0" borderId="55" xfId="0" applyNumberFormat="1" applyFont="1" applyBorder="1"/>
    <xf numFmtId="173" fontId="9" fillId="0" borderId="61" xfId="0" applyNumberFormat="1" applyFont="1" applyBorder="1"/>
    <xf numFmtId="173" fontId="9" fillId="0" borderId="47" xfId="0" applyNumberFormat="1" applyFont="1" applyBorder="1"/>
    <xf numFmtId="173" fontId="9" fillId="0" borderId="62" xfId="0" applyNumberFormat="1" applyFont="1" applyBorder="1"/>
    <xf numFmtId="173" fontId="10" fillId="0" borderId="58" xfId="0" applyNumberFormat="1" applyFont="1" applyBorder="1"/>
    <xf numFmtId="170" fontId="9" fillId="0" borderId="46" xfId="0" applyNumberFormat="1" applyFont="1" applyBorder="1"/>
    <xf numFmtId="0" fontId="10" fillId="0" borderId="63" xfId="0" applyFont="1" applyBorder="1" applyAlignment="1">
      <alignment horizontal="center"/>
    </xf>
    <xf numFmtId="170" fontId="9" fillId="0" borderId="45" xfId="0" applyNumberFormat="1" applyFont="1" applyBorder="1"/>
    <xf numFmtId="0" fontId="10" fillId="0" borderId="39" xfId="0" applyFont="1" applyFill="1" applyBorder="1" applyAlignment="1">
      <alignment horizontal="centerContinuous" vertical="center" wrapText="1"/>
    </xf>
    <xf numFmtId="0" fontId="10" fillId="0" borderId="15" xfId="0" applyFont="1" applyFill="1" applyBorder="1" applyAlignment="1">
      <alignment horizontal="center" vertical="center" wrapText="1"/>
    </xf>
    <xf numFmtId="173" fontId="10" fillId="0" borderId="64" xfId="0" applyNumberFormat="1" applyFont="1" applyBorder="1"/>
    <xf numFmtId="0" fontId="10" fillId="0" borderId="15" xfId="0" applyFont="1" applyBorder="1"/>
    <xf numFmtId="173" fontId="9" fillId="25" borderId="22" xfId="0" applyNumberFormat="1" applyFont="1" applyFill="1" applyBorder="1"/>
    <xf numFmtId="173" fontId="9" fillId="25" borderId="24" xfId="0" applyNumberFormat="1" applyFont="1" applyFill="1" applyBorder="1"/>
    <xf numFmtId="0" fontId="10" fillId="0" borderId="65" xfId="0" applyFont="1" applyFill="1" applyBorder="1" applyAlignment="1">
      <alignment horizontal="centerContinuous" vertical="center" wrapText="1"/>
    </xf>
    <xf numFmtId="169" fontId="9" fillId="0" borderId="46" xfId="42" applyNumberFormat="1" applyFont="1" applyFill="1" applyBorder="1" applyAlignment="1">
      <alignment horizontal="center" vertical="top" wrapText="1"/>
    </xf>
    <xf numFmtId="0" fontId="9" fillId="0" borderId="16" xfId="0" applyFont="1" applyBorder="1" applyAlignment="1">
      <alignment horizontal="left" vertical="top" wrapText="1" indent="1"/>
    </xf>
    <xf numFmtId="9" fontId="9" fillId="0" borderId="63" xfId="0" applyNumberFormat="1" applyFont="1" applyBorder="1" applyAlignment="1">
      <alignment horizontal="center" vertical="top"/>
    </xf>
    <xf numFmtId="9" fontId="9" fillId="0" borderId="23" xfId="0" applyNumberFormat="1" applyFont="1" applyBorder="1" applyAlignment="1">
      <alignment horizontal="center" vertical="top"/>
    </xf>
    <xf numFmtId="9" fontId="9" fillId="0" borderId="53" xfId="0" applyNumberFormat="1" applyFont="1" applyBorder="1" applyAlignment="1">
      <alignment horizontal="center" vertical="top"/>
    </xf>
    <xf numFmtId="0" fontId="12" fillId="0" borderId="11" xfId="0" applyFont="1" applyBorder="1" applyAlignment="1">
      <alignment horizontal="left" vertical="top"/>
    </xf>
    <xf numFmtId="169" fontId="9" fillId="0" borderId="45" xfId="42" applyNumberFormat="1" applyFont="1" applyFill="1" applyBorder="1" applyAlignment="1">
      <alignment horizontal="center" vertical="top" wrapText="1"/>
    </xf>
    <xf numFmtId="0" fontId="12" fillId="0" borderId="10" xfId="0" applyFont="1" applyBorder="1" applyAlignment="1">
      <alignment horizontal="left" vertical="top" wrapText="1"/>
    </xf>
    <xf numFmtId="0" fontId="10" fillId="0" borderId="38" xfId="0" applyFont="1" applyBorder="1" applyAlignment="1">
      <alignment horizontal="center"/>
    </xf>
    <xf numFmtId="0" fontId="9" fillId="0" borderId="46" xfId="0" applyFont="1" applyBorder="1"/>
    <xf numFmtId="0" fontId="9" fillId="0" borderId="37" xfId="0" applyFont="1" applyBorder="1"/>
    <xf numFmtId="0" fontId="9" fillId="0" borderId="45" xfId="0" applyFont="1" applyBorder="1"/>
    <xf numFmtId="171" fontId="9" fillId="0" borderId="0" xfId="0" applyNumberFormat="1" applyFont="1" applyFill="1" applyBorder="1"/>
    <xf numFmtId="174" fontId="9" fillId="0" borderId="0" xfId="42" applyNumberFormat="1" applyFont="1" applyBorder="1"/>
    <xf numFmtId="169" fontId="10" fillId="0" borderId="29" xfId="42" applyNumberFormat="1" applyFont="1" applyFill="1" applyBorder="1" applyAlignment="1">
      <alignment horizontal="center" vertical="top" wrapText="1"/>
    </xf>
    <xf numFmtId="0" fontId="10" fillId="0" borderId="59" xfId="0" applyFont="1" applyFill="1" applyBorder="1" applyAlignment="1">
      <alignment horizontal="left" vertical="center"/>
    </xf>
    <xf numFmtId="0" fontId="9" fillId="0" borderId="54" xfId="0" applyFont="1" applyFill="1" applyBorder="1" applyAlignment="1">
      <alignment horizontal="center" vertical="center"/>
    </xf>
    <xf numFmtId="0" fontId="9" fillId="0" borderId="66" xfId="0" applyFont="1" applyBorder="1"/>
    <xf numFmtId="0" fontId="9" fillId="0" borderId="36" xfId="0" applyFont="1" applyBorder="1"/>
    <xf numFmtId="0" fontId="9" fillId="0" borderId="36" xfId="0" applyFont="1" applyFill="1" applyBorder="1" applyAlignment="1">
      <alignment horizontal="center" vertical="center"/>
    </xf>
    <xf numFmtId="9" fontId="10" fillId="0" borderId="36" xfId="42" applyFont="1" applyFill="1" applyBorder="1" applyAlignment="1">
      <alignment horizontal="center" vertical="center"/>
    </xf>
    <xf numFmtId="0" fontId="9" fillId="0" borderId="51" xfId="0" applyFont="1" applyFill="1" applyBorder="1" applyAlignment="1">
      <alignment horizontal="center" vertical="center"/>
    </xf>
    <xf numFmtId="0" fontId="9" fillId="0" borderId="62" xfId="0" applyFont="1" applyBorder="1"/>
    <xf numFmtId="173" fontId="9" fillId="0" borderId="58" xfId="0" applyNumberFormat="1" applyFont="1" applyBorder="1"/>
    <xf numFmtId="170" fontId="10" fillId="0" borderId="26" xfId="0" applyNumberFormat="1" applyFont="1" applyBorder="1"/>
    <xf numFmtId="170" fontId="10" fillId="0" borderId="22" xfId="0" applyNumberFormat="1" applyFont="1" applyBorder="1"/>
    <xf numFmtId="170" fontId="10" fillId="0" borderId="46" xfId="0" applyNumberFormat="1" applyFont="1" applyBorder="1"/>
    <xf numFmtId="169" fontId="10" fillId="0" borderId="22" xfId="42" applyNumberFormat="1" applyFont="1" applyFill="1" applyBorder="1" applyAlignment="1">
      <alignment horizontal="center" vertical="top" wrapText="1"/>
    </xf>
    <xf numFmtId="169" fontId="10" fillId="0" borderId="31" xfId="42" applyNumberFormat="1" applyFont="1" applyFill="1" applyBorder="1" applyAlignment="1">
      <alignment horizontal="center" vertical="top" wrapText="1"/>
    </xf>
    <xf numFmtId="173" fontId="9" fillId="0" borderId="30" xfId="0" applyNumberFormat="1" applyFont="1" applyBorder="1"/>
    <xf numFmtId="173" fontId="9" fillId="0" borderId="29" xfId="0" applyNumberFormat="1" applyFont="1" applyBorder="1"/>
    <xf numFmtId="169" fontId="9" fillId="0" borderId="29" xfId="42" applyNumberFormat="1" applyFont="1" applyFill="1" applyBorder="1" applyAlignment="1">
      <alignment horizontal="center" vertical="top" wrapText="1"/>
    </xf>
    <xf numFmtId="173" fontId="9" fillId="0" borderId="56" xfId="0" applyNumberFormat="1" applyFont="1" applyBorder="1"/>
    <xf numFmtId="0" fontId="9" fillId="0" borderId="67" xfId="0" applyFont="1" applyBorder="1" applyAlignment="1">
      <alignment horizontal="center"/>
    </xf>
    <xf numFmtId="9" fontId="10" fillId="0" borderId="26" xfId="42" applyFont="1" applyBorder="1" applyAlignment="1">
      <alignment horizontal="center"/>
    </xf>
    <xf numFmtId="9" fontId="10" fillId="0" borderId="46" xfId="42" applyFont="1" applyBorder="1" applyAlignment="1">
      <alignment horizontal="center"/>
    </xf>
    <xf numFmtId="169" fontId="10" fillId="0" borderId="46" xfId="42" applyNumberFormat="1" applyFont="1" applyFill="1" applyBorder="1" applyAlignment="1">
      <alignment horizontal="center" vertical="top" wrapText="1"/>
    </xf>
    <xf numFmtId="0" fontId="10" fillId="0" borderId="68" xfId="0" applyFont="1" applyBorder="1"/>
    <xf numFmtId="0" fontId="10" fillId="0" borderId="11" xfId="0" applyFont="1" applyFill="1" applyBorder="1" applyAlignment="1">
      <alignment horizontal="left"/>
    </xf>
    <xf numFmtId="0" fontId="10" fillId="0" borderId="11" xfId="0" applyFont="1" applyFill="1" applyBorder="1" applyAlignment="1">
      <alignment vertical="center" wrapText="1"/>
    </xf>
    <xf numFmtId="0" fontId="10" fillId="0" borderId="37" xfId="0" applyFont="1" applyBorder="1" applyAlignment="1">
      <alignment horizontal="center"/>
    </xf>
    <xf numFmtId="173" fontId="9" fillId="0" borderId="69" xfId="0" applyNumberFormat="1" applyFont="1" applyBorder="1"/>
    <xf numFmtId="0" fontId="10" fillId="0" borderId="35" xfId="0" applyFont="1" applyFill="1" applyBorder="1"/>
    <xf numFmtId="170" fontId="10" fillId="0" borderId="55" xfId="0" applyNumberFormat="1" applyFont="1" applyBorder="1"/>
    <xf numFmtId="173" fontId="10" fillId="0" borderId="70" xfId="0" applyNumberFormat="1" applyFont="1" applyBorder="1"/>
    <xf numFmtId="0" fontId="9" fillId="0" borderId="16" xfId="0" applyFont="1" applyFill="1" applyBorder="1" applyAlignment="1">
      <alignment horizontal="left" indent="1"/>
    </xf>
    <xf numFmtId="0" fontId="13" fillId="0" borderId="11" xfId="0" quotePrefix="1" applyFont="1" applyBorder="1" applyAlignment="1">
      <alignment horizontal="left"/>
    </xf>
    <xf numFmtId="0" fontId="9" fillId="0" borderId="38" xfId="0" applyFont="1" applyFill="1" applyBorder="1" applyAlignment="1">
      <alignment horizontal="center"/>
    </xf>
    <xf numFmtId="169" fontId="9" fillId="0" borderId="36" xfId="42" applyNumberFormat="1" applyFont="1" applyFill="1" applyBorder="1" applyAlignment="1">
      <alignment horizontal="center" vertical="top" wrapText="1"/>
    </xf>
    <xf numFmtId="170" fontId="9" fillId="0" borderId="0" xfId="28" applyNumberFormat="1" applyFont="1" applyFill="1" applyBorder="1"/>
    <xf numFmtId="0" fontId="10" fillId="0" borderId="67" xfId="0" applyFont="1" applyFill="1" applyBorder="1" applyAlignment="1">
      <alignment horizontal="center" vertical="center" wrapText="1"/>
    </xf>
    <xf numFmtId="173" fontId="10" fillId="25" borderId="22" xfId="0" applyNumberFormat="1" applyFont="1" applyFill="1" applyBorder="1"/>
    <xf numFmtId="173" fontId="9" fillId="25" borderId="36" xfId="0" applyNumberFormat="1" applyFont="1" applyFill="1" applyBorder="1"/>
    <xf numFmtId="173" fontId="10" fillId="25" borderId="22" xfId="0" applyNumberFormat="1" applyFont="1" applyFill="1" applyBorder="1" applyAlignment="1">
      <alignment vertical="top"/>
    </xf>
    <xf numFmtId="9" fontId="9" fillId="0" borderId="22" xfId="42" applyFont="1" applyBorder="1" applyAlignment="1">
      <alignment horizontal="center"/>
    </xf>
    <xf numFmtId="9" fontId="10" fillId="0" borderId="31" xfId="42" applyFont="1" applyBorder="1" applyAlignment="1">
      <alignment horizontal="center"/>
    </xf>
    <xf numFmtId="9" fontId="10" fillId="0" borderId="29" xfId="42" applyFont="1" applyBorder="1" applyAlignment="1">
      <alignment horizontal="center"/>
    </xf>
    <xf numFmtId="9" fontId="10" fillId="0" borderId="24" xfId="42" applyFont="1" applyBorder="1" applyAlignment="1">
      <alignment horizontal="center"/>
    </xf>
    <xf numFmtId="173" fontId="10" fillId="25" borderId="24" xfId="0" applyNumberFormat="1" applyFont="1" applyFill="1" applyBorder="1"/>
    <xf numFmtId="9" fontId="9" fillId="0" borderId="36" xfId="42" applyFont="1" applyBorder="1" applyAlignment="1">
      <alignment horizontal="center"/>
    </xf>
    <xf numFmtId="0" fontId="9" fillId="0" borderId="12" xfId="0" applyFont="1" applyBorder="1"/>
    <xf numFmtId="0" fontId="9" fillId="0" borderId="14" xfId="0" applyFont="1" applyBorder="1"/>
    <xf numFmtId="0" fontId="15" fillId="0" borderId="15" xfId="0" applyFont="1" applyBorder="1"/>
    <xf numFmtId="0" fontId="9" fillId="0" borderId="65" xfId="0" applyFont="1" applyBorder="1"/>
    <xf numFmtId="170" fontId="9" fillId="0" borderId="13" xfId="28" applyNumberFormat="1" applyFont="1" applyFill="1" applyBorder="1"/>
    <xf numFmtId="2" fontId="9" fillId="0" borderId="0" xfId="0" applyNumberFormat="1" applyFont="1"/>
    <xf numFmtId="0" fontId="10" fillId="0" borderId="11" xfId="0" quotePrefix="1" applyFont="1" applyBorder="1" applyAlignment="1">
      <alignment horizontal="left" indent="1"/>
    </xf>
    <xf numFmtId="169" fontId="10" fillId="0" borderId="22" xfId="42" applyNumberFormat="1" applyFont="1" applyFill="1" applyBorder="1" applyAlignment="1">
      <alignment horizontal="center" wrapText="1"/>
    </xf>
    <xf numFmtId="9" fontId="10" fillId="0" borderId="22" xfId="42" applyFont="1" applyFill="1" applyBorder="1" applyAlignment="1">
      <alignment horizontal="center" vertical="top" wrapText="1"/>
    </xf>
    <xf numFmtId="0" fontId="12" fillId="0" borderId="10" xfId="0" applyFont="1" applyFill="1" applyBorder="1"/>
    <xf numFmtId="0" fontId="8" fillId="0" borderId="14" xfId="0" applyFont="1" applyFill="1" applyBorder="1" applyAlignment="1"/>
    <xf numFmtId="0" fontId="10" fillId="0" borderId="10" xfId="0" applyNumberFormat="1" applyFont="1" applyBorder="1" applyAlignment="1">
      <alignment wrapText="1"/>
    </xf>
    <xf numFmtId="0" fontId="9" fillId="0" borderId="10" xfId="0" applyNumberFormat="1" applyFont="1" applyBorder="1" applyAlignment="1">
      <alignment horizontal="left" wrapText="1" indent="1"/>
    </xf>
    <xf numFmtId="0" fontId="10" fillId="0" borderId="19" xfId="0" applyNumberFormat="1" applyFont="1" applyBorder="1"/>
    <xf numFmtId="0" fontId="10" fillId="0" borderId="59" xfId="0" applyFont="1" applyBorder="1"/>
    <xf numFmtId="9" fontId="10" fillId="0" borderId="54" xfId="42" applyFont="1" applyBorder="1" applyAlignment="1">
      <alignment horizontal="center"/>
    </xf>
    <xf numFmtId="9" fontId="10" fillId="0" borderId="66" xfId="42" applyFont="1" applyBorder="1" applyAlignment="1">
      <alignment horizontal="center"/>
    </xf>
    <xf numFmtId="9" fontId="10" fillId="0" borderId="36" xfId="42" applyFont="1" applyBorder="1" applyAlignment="1">
      <alignment horizontal="center"/>
    </xf>
    <xf numFmtId="9" fontId="10" fillId="0" borderId="51" xfId="42" applyFont="1" applyBorder="1" applyAlignment="1">
      <alignment horizontal="center"/>
    </xf>
    <xf numFmtId="0" fontId="10" fillId="0" borderId="39" xfId="0" applyFont="1" applyFill="1" applyBorder="1" applyAlignment="1">
      <alignment horizontal="center" vertical="center"/>
    </xf>
    <xf numFmtId="173" fontId="9" fillId="0" borderId="14" xfId="0" applyNumberFormat="1" applyFont="1" applyBorder="1"/>
    <xf numFmtId="173" fontId="9" fillId="0" borderId="17" xfId="0" applyNumberFormat="1" applyFont="1" applyBorder="1"/>
    <xf numFmtId="0" fontId="10" fillId="0" borderId="71" xfId="0" applyFont="1" applyBorder="1"/>
    <xf numFmtId="0" fontId="10" fillId="0" borderId="18" xfId="0" applyFont="1" applyBorder="1"/>
    <xf numFmtId="0" fontId="9" fillId="0" borderId="15" xfId="0" applyFont="1" applyBorder="1"/>
    <xf numFmtId="173" fontId="9" fillId="0" borderId="12" xfId="0" applyNumberFormat="1" applyFont="1" applyBorder="1"/>
    <xf numFmtId="173" fontId="9" fillId="0" borderId="65" xfId="0" applyNumberFormat="1" applyFont="1" applyBorder="1"/>
    <xf numFmtId="0" fontId="9" fillId="0" borderId="71" xfId="0" applyFont="1" applyBorder="1"/>
    <xf numFmtId="0" fontId="9" fillId="0" borderId="18" xfId="0" applyFont="1" applyBorder="1"/>
    <xf numFmtId="0" fontId="8" fillId="0" borderId="15" xfId="0" applyFont="1" applyBorder="1"/>
    <xf numFmtId="0" fontId="8" fillId="0" borderId="68" xfId="0" applyFont="1" applyBorder="1"/>
    <xf numFmtId="0" fontId="10" fillId="0" borderId="72" xfId="0" applyFont="1" applyBorder="1" applyAlignment="1">
      <alignment horizontal="center"/>
    </xf>
    <xf numFmtId="173" fontId="10" fillId="0" borderId="18" xfId="0" applyNumberFormat="1" applyFont="1" applyBorder="1"/>
    <xf numFmtId="0" fontId="6" fillId="24" borderId="71" xfId="0" applyFont="1" applyFill="1" applyBorder="1" applyAlignment="1">
      <alignment horizontal="center"/>
    </xf>
    <xf numFmtId="0" fontId="10" fillId="0" borderId="0" xfId="0" applyFont="1"/>
    <xf numFmtId="0" fontId="6" fillId="0" borderId="0" xfId="0" applyFont="1"/>
    <xf numFmtId="0" fontId="5" fillId="0" borderId="0" xfId="0" applyFont="1" applyProtection="1"/>
    <xf numFmtId="0" fontId="17" fillId="26" borderId="15" xfId="0" applyFont="1" applyFill="1" applyBorder="1"/>
    <xf numFmtId="0" fontId="17" fillId="26" borderId="12" xfId="0" applyFont="1" applyFill="1" applyBorder="1" applyAlignment="1">
      <alignment horizontal="left"/>
    </xf>
    <xf numFmtId="0" fontId="17" fillId="26" borderId="39" xfId="0" applyFont="1" applyFill="1" applyBorder="1" applyAlignment="1">
      <alignment horizontal="left"/>
    </xf>
    <xf numFmtId="0" fontId="17" fillId="26" borderId="15" xfId="0" applyFont="1" applyFill="1" applyBorder="1" applyAlignment="1">
      <alignment horizontal="left"/>
    </xf>
    <xf numFmtId="0" fontId="6" fillId="27" borderId="0" xfId="0" applyFont="1" applyFill="1"/>
    <xf numFmtId="0" fontId="5" fillId="0" borderId="10" xfId="0" applyFont="1" applyBorder="1"/>
    <xf numFmtId="0" fontId="18" fillId="0" borderId="0" xfId="0" applyFont="1"/>
    <xf numFmtId="17" fontId="5" fillId="0" borderId="10" xfId="0" quotePrefix="1" applyNumberFormat="1" applyFont="1" applyBorder="1"/>
    <xf numFmtId="0" fontId="5" fillId="0" borderId="10" xfId="0" quotePrefix="1" applyFont="1" applyBorder="1"/>
    <xf numFmtId="174" fontId="10" fillId="0" borderId="36" xfId="42" applyNumberFormat="1" applyFont="1" applyBorder="1"/>
    <xf numFmtId="173" fontId="9" fillId="28" borderId="26" xfId="0" applyNumberFormat="1" applyFont="1" applyFill="1" applyBorder="1" applyProtection="1">
      <protection locked="0"/>
    </xf>
    <xf numFmtId="173" fontId="9" fillId="28" borderId="22" xfId="0" applyNumberFormat="1" applyFont="1" applyFill="1" applyBorder="1" applyProtection="1">
      <protection locked="0"/>
    </xf>
    <xf numFmtId="173" fontId="9" fillId="0" borderId="46" xfId="0" applyNumberFormat="1" applyFont="1" applyFill="1" applyBorder="1"/>
    <xf numFmtId="0" fontId="12" fillId="0" borderId="10" xfId="0" applyFont="1" applyBorder="1" applyProtection="1"/>
    <xf numFmtId="0" fontId="9" fillId="0" borderId="10" xfId="0" applyFont="1" applyBorder="1" applyProtection="1"/>
    <xf numFmtId="0" fontId="9" fillId="0" borderId="10" xfId="0" applyFont="1" applyBorder="1" applyAlignment="1" applyProtection="1">
      <alignment horizontal="center"/>
    </xf>
    <xf numFmtId="9" fontId="9" fillId="0" borderId="39" xfId="0" applyNumberFormat="1" applyFont="1" applyBorder="1" applyAlignment="1" applyProtection="1">
      <alignment horizontal="center" vertical="top"/>
      <protection locked="0"/>
    </xf>
    <xf numFmtId="169" fontId="9" fillId="0" borderId="10" xfId="42" applyNumberFormat="1" applyFont="1" applyFill="1" applyBorder="1" applyAlignment="1" applyProtection="1">
      <alignment horizontal="center" vertical="top" wrapText="1"/>
    </xf>
    <xf numFmtId="169" fontId="9" fillId="0" borderId="45" xfId="42" applyNumberFormat="1" applyFont="1" applyFill="1" applyBorder="1" applyAlignment="1" applyProtection="1">
      <alignment horizontal="center" vertical="top" wrapText="1"/>
    </xf>
    <xf numFmtId="169" fontId="9" fillId="0" borderId="22" xfId="42" applyNumberFormat="1" applyFont="1" applyFill="1" applyBorder="1" applyAlignment="1" applyProtection="1">
      <alignment horizontal="center" vertical="top" wrapText="1"/>
    </xf>
    <xf numFmtId="169" fontId="9" fillId="0" borderId="46" xfId="42" applyNumberFormat="1" applyFont="1" applyFill="1" applyBorder="1" applyAlignment="1" applyProtection="1">
      <alignment horizontal="center" vertical="top" wrapText="1"/>
    </xf>
    <xf numFmtId="173" fontId="9" fillId="28" borderId="37" xfId="0" applyNumberFormat="1" applyFont="1" applyFill="1" applyBorder="1" applyProtection="1">
      <protection locked="0"/>
    </xf>
    <xf numFmtId="173" fontId="9" fillId="28" borderId="13" xfId="0" applyNumberFormat="1" applyFont="1" applyFill="1" applyBorder="1" applyProtection="1">
      <protection locked="0"/>
    </xf>
    <xf numFmtId="0" fontId="9" fillId="0" borderId="11" xfId="0" quotePrefix="1" applyFont="1" applyFill="1" applyBorder="1" applyAlignment="1">
      <alignment horizontal="left" indent="2"/>
    </xf>
    <xf numFmtId="0" fontId="10" fillId="0" borderId="11" xfId="0" quotePrefix="1" applyFont="1" applyFill="1" applyBorder="1" applyAlignment="1">
      <alignment horizontal="left" indent="1"/>
    </xf>
    <xf numFmtId="0" fontId="13" fillId="0" borderId="11" xfId="0" quotePrefix="1" applyFont="1" applyFill="1" applyBorder="1" applyAlignment="1">
      <alignment horizontal="left" indent="2"/>
    </xf>
    <xf numFmtId="9" fontId="10" fillId="25" borderId="10" xfId="42" applyFont="1" applyFill="1" applyBorder="1" applyAlignment="1">
      <alignment horizontal="center"/>
    </xf>
    <xf numFmtId="170" fontId="9" fillId="25" borderId="10" xfId="0" applyNumberFormat="1" applyFont="1" applyFill="1" applyBorder="1"/>
    <xf numFmtId="169" fontId="10" fillId="25" borderId="22" xfId="42" applyNumberFormat="1" applyFont="1" applyFill="1" applyBorder="1" applyAlignment="1">
      <alignment horizontal="center" vertical="top" wrapText="1"/>
    </xf>
    <xf numFmtId="170" fontId="9" fillId="25" borderId="22" xfId="0" applyNumberFormat="1" applyFont="1" applyFill="1" applyBorder="1"/>
    <xf numFmtId="9" fontId="10" fillId="25" borderId="22" xfId="42" applyFont="1" applyFill="1" applyBorder="1" applyAlignment="1">
      <alignment horizontal="center" vertical="top" wrapText="1"/>
    </xf>
    <xf numFmtId="9" fontId="9" fillId="25" borderId="22" xfId="42" applyFont="1" applyFill="1" applyBorder="1" applyAlignment="1">
      <alignment horizontal="center"/>
    </xf>
    <xf numFmtId="173" fontId="9" fillId="0" borderId="0" xfId="0" applyNumberFormat="1" applyFont="1" applyFill="1" applyBorder="1" applyProtection="1"/>
    <xf numFmtId="0" fontId="8" fillId="0" borderId="0" xfId="0" applyFont="1" applyFill="1" applyBorder="1" applyAlignment="1"/>
    <xf numFmtId="0" fontId="9" fillId="0" borderId="11" xfId="0" applyFont="1" applyFill="1" applyBorder="1" applyAlignment="1" applyProtection="1">
      <alignment horizontal="left" indent="1"/>
    </xf>
    <xf numFmtId="173" fontId="9" fillId="0" borderId="22" xfId="0" applyNumberFormat="1" applyFont="1" applyFill="1" applyBorder="1" applyProtection="1"/>
    <xf numFmtId="173" fontId="9" fillId="0" borderId="36" xfId="0" applyNumberFormat="1" applyFont="1" applyFill="1" applyBorder="1" applyProtection="1"/>
    <xf numFmtId="169" fontId="10" fillId="25" borderId="24" xfId="42" applyNumberFormat="1" applyFont="1" applyFill="1" applyBorder="1" applyAlignment="1">
      <alignment horizontal="center" vertical="top" wrapText="1"/>
    </xf>
    <xf numFmtId="0" fontId="9" fillId="0" borderId="0" xfId="0" quotePrefix="1" applyFont="1" applyBorder="1"/>
    <xf numFmtId="0" fontId="5" fillId="0" borderId="0" xfId="0" applyFont="1" applyBorder="1" applyAlignment="1">
      <alignment horizontal="left"/>
    </xf>
    <xf numFmtId="0" fontId="10" fillId="0" borderId="24" xfId="0" applyFont="1" applyFill="1" applyBorder="1" applyAlignment="1">
      <alignment horizontal="center" vertical="top" wrapText="1"/>
    </xf>
    <xf numFmtId="0" fontId="11" fillId="0" borderId="11" xfId="0" applyNumberFormat="1" applyFont="1" applyFill="1" applyBorder="1" applyAlignment="1" applyProtection="1">
      <alignment horizontal="left" indent="1"/>
    </xf>
    <xf numFmtId="0" fontId="9" fillId="0" borderId="22" xfId="0" applyNumberFormat="1" applyFont="1" applyBorder="1" applyAlignment="1" applyProtection="1">
      <alignment horizontal="center"/>
    </xf>
    <xf numFmtId="0" fontId="9" fillId="0" borderId="11" xfId="0" applyNumberFormat="1" applyFont="1" applyFill="1" applyBorder="1" applyAlignment="1" applyProtection="1">
      <alignment horizontal="left" indent="2"/>
    </xf>
    <xf numFmtId="0" fontId="9" fillId="0" borderId="22" xfId="0" applyNumberFormat="1" applyFont="1" applyFill="1" applyBorder="1" applyAlignment="1" applyProtection="1">
      <alignment horizontal="center"/>
    </xf>
    <xf numFmtId="0" fontId="9" fillId="0" borderId="50" xfId="0" applyFont="1" applyBorder="1" applyAlignment="1">
      <alignment horizontal="center"/>
    </xf>
    <xf numFmtId="0" fontId="9" fillId="0" borderId="46" xfId="0" applyFont="1" applyBorder="1" applyAlignment="1">
      <alignment horizontal="center"/>
    </xf>
    <xf numFmtId="0" fontId="15" fillId="0" borderId="46" xfId="0" applyFont="1" applyBorder="1" applyAlignment="1">
      <alignment horizontal="center"/>
    </xf>
    <xf numFmtId="0" fontId="9" fillId="0" borderId="46" xfId="0" applyFont="1" applyFill="1" applyBorder="1" applyAlignment="1">
      <alignment horizontal="center"/>
    </xf>
    <xf numFmtId="0" fontId="10" fillId="0" borderId="47" xfId="0" applyFont="1" applyBorder="1" applyAlignment="1">
      <alignment horizontal="center"/>
    </xf>
    <xf numFmtId="0" fontId="9" fillId="0" borderId="17" xfId="0" applyFont="1" applyFill="1" applyBorder="1" applyAlignment="1">
      <alignment horizontal="center" vertical="center"/>
    </xf>
    <xf numFmtId="0" fontId="10" fillId="0" borderId="13" xfId="0" applyFont="1" applyBorder="1" applyAlignment="1">
      <alignment horizontal="center"/>
    </xf>
    <xf numFmtId="0" fontId="9" fillId="0" borderId="24" xfId="0" applyFont="1" applyBorder="1" applyAlignment="1">
      <alignment horizontal="center"/>
    </xf>
    <xf numFmtId="0" fontId="9" fillId="0" borderId="22" xfId="0" applyFont="1" applyBorder="1" applyAlignment="1">
      <alignment horizontal="center"/>
    </xf>
    <xf numFmtId="0" fontId="15" fillId="0" borderId="22" xfId="0" applyFont="1" applyBorder="1" applyAlignment="1">
      <alignment horizontal="center"/>
    </xf>
    <xf numFmtId="0" fontId="9" fillId="0" borderId="22" xfId="0" applyFont="1" applyFill="1" applyBorder="1" applyAlignment="1">
      <alignment horizontal="center"/>
    </xf>
    <xf numFmtId="0" fontId="10" fillId="0" borderId="24" xfId="0" applyFont="1" applyBorder="1" applyAlignment="1">
      <alignment horizontal="center"/>
    </xf>
    <xf numFmtId="173" fontId="10" fillId="0" borderId="43" xfId="0" applyNumberFormat="1" applyFont="1" applyBorder="1"/>
    <xf numFmtId="9" fontId="10" fillId="0" borderId="43" xfId="42" applyFont="1" applyBorder="1" applyAlignment="1">
      <alignment horizontal="center"/>
    </xf>
    <xf numFmtId="0" fontId="10" fillId="0" borderId="45" xfId="0" applyFont="1" applyBorder="1" applyAlignment="1">
      <alignment horizontal="center"/>
    </xf>
    <xf numFmtId="0" fontId="8" fillId="0" borderId="14" xfId="0" applyFont="1" applyFill="1" applyBorder="1" applyAlignment="1" applyProtection="1">
      <alignment horizontal="left"/>
    </xf>
    <xf numFmtId="0" fontId="19" fillId="0" borderId="0" xfId="0" applyFont="1"/>
    <xf numFmtId="0" fontId="10" fillId="0" borderId="25" xfId="0" applyFont="1" applyFill="1" applyBorder="1" applyAlignment="1" applyProtection="1">
      <alignment horizontal="center" vertical="center"/>
    </xf>
    <xf numFmtId="0" fontId="10" fillId="0" borderId="23" xfId="0" applyFont="1" applyFill="1" applyBorder="1" applyAlignment="1" applyProtection="1">
      <alignment vertical="center"/>
    </xf>
    <xf numFmtId="0" fontId="10" fillId="0" borderId="16" xfId="0" applyFont="1" applyFill="1" applyBorder="1" applyAlignment="1" applyProtection="1">
      <alignment horizontal="left" vertical="center"/>
    </xf>
    <xf numFmtId="0" fontId="10" fillId="0" borderId="24" xfId="0" applyFont="1" applyFill="1" applyBorder="1" applyAlignment="1" applyProtection="1">
      <alignment vertical="center"/>
    </xf>
    <xf numFmtId="0" fontId="12" fillId="0" borderId="11" xfId="0" applyFont="1" applyBorder="1" applyProtection="1"/>
    <xf numFmtId="0" fontId="10" fillId="0" borderId="22" xfId="0" applyNumberFormat="1" applyFont="1" applyBorder="1" applyAlignment="1" applyProtection="1">
      <alignment horizontal="center"/>
      <protection locked="0"/>
    </xf>
    <xf numFmtId="173" fontId="10" fillId="0" borderId="22" xfId="0" applyNumberFormat="1" applyFont="1" applyBorder="1" applyAlignment="1">
      <alignment horizontal="right"/>
    </xf>
    <xf numFmtId="173" fontId="10" fillId="0" borderId="13" xfId="0" applyNumberFormat="1" applyFont="1" applyBorder="1" applyAlignment="1">
      <alignment horizontal="right"/>
    </xf>
    <xf numFmtId="173" fontId="10" fillId="0" borderId="0" xfId="0" applyNumberFormat="1" applyFont="1" applyBorder="1" applyAlignment="1">
      <alignment horizontal="right"/>
    </xf>
    <xf numFmtId="173" fontId="10" fillId="0" borderId="26" xfId="0" applyNumberFormat="1" applyFont="1" applyBorder="1" applyAlignment="1">
      <alignment horizontal="right"/>
    </xf>
    <xf numFmtId="0" fontId="9" fillId="0" borderId="22" xfId="0" applyNumberFormat="1" applyFont="1" applyBorder="1" applyAlignment="1" applyProtection="1">
      <alignment horizontal="center"/>
      <protection locked="0"/>
    </xf>
    <xf numFmtId="170" fontId="9" fillId="0" borderId="13" xfId="0" applyNumberFormat="1" applyFont="1" applyBorder="1"/>
    <xf numFmtId="0" fontId="10" fillId="0" borderId="11" xfId="0" applyFont="1" applyBorder="1" applyAlignment="1" applyProtection="1">
      <alignment horizontal="left"/>
    </xf>
    <xf numFmtId="173" fontId="10" fillId="0" borderId="43" xfId="0" applyNumberFormat="1" applyFont="1" applyBorder="1" applyAlignment="1" applyProtection="1">
      <alignment horizontal="right"/>
    </xf>
    <xf numFmtId="173" fontId="10" fillId="0" borderId="73" xfId="0" applyNumberFormat="1" applyFont="1" applyBorder="1" applyAlignment="1" applyProtection="1">
      <alignment horizontal="right"/>
    </xf>
    <xf numFmtId="173" fontId="10" fillId="0" borderId="74" xfId="0" applyNumberFormat="1" applyFont="1" applyBorder="1" applyAlignment="1" applyProtection="1">
      <alignment horizontal="right"/>
    </xf>
    <xf numFmtId="173" fontId="10" fillId="0" borderId="52" xfId="0" applyNumberFormat="1" applyFont="1" applyBorder="1" applyAlignment="1" applyProtection="1">
      <alignment horizontal="right"/>
    </xf>
    <xf numFmtId="170" fontId="10" fillId="0" borderId="18" xfId="0" applyNumberFormat="1" applyFont="1" applyBorder="1"/>
    <xf numFmtId="170" fontId="10" fillId="0" borderId="72" xfId="0" applyNumberFormat="1" applyFont="1" applyBorder="1"/>
    <xf numFmtId="0" fontId="9" fillId="0" borderId="16" xfId="0" applyFont="1" applyBorder="1" applyProtection="1"/>
    <xf numFmtId="0" fontId="9" fillId="0" borderId="24" xfId="0" applyNumberFormat="1" applyFont="1" applyBorder="1" applyAlignment="1" applyProtection="1">
      <alignment horizontal="center"/>
    </xf>
    <xf numFmtId="173" fontId="9" fillId="0" borderId="24" xfId="0" applyNumberFormat="1" applyFont="1" applyBorder="1" applyProtection="1"/>
    <xf numFmtId="173" fontId="9" fillId="0" borderId="17" xfId="0" applyNumberFormat="1" applyFont="1" applyBorder="1" applyProtection="1"/>
    <xf numFmtId="173" fontId="9" fillId="0" borderId="14" xfId="0" applyNumberFormat="1" applyFont="1" applyBorder="1" applyProtection="1"/>
    <xf numFmtId="173" fontId="9" fillId="0" borderId="33" xfId="0" applyNumberFormat="1" applyFont="1" applyBorder="1" applyProtection="1"/>
    <xf numFmtId="0" fontId="12" fillId="0" borderId="15" xfId="0" applyFont="1" applyBorder="1" applyProtection="1"/>
    <xf numFmtId="0" fontId="9" fillId="0" borderId="23" xfId="0" applyNumberFormat="1" applyFont="1" applyBorder="1" applyAlignment="1" applyProtection="1">
      <alignment horizontal="center"/>
    </xf>
    <xf numFmtId="173" fontId="9" fillId="0" borderId="23" xfId="0" applyNumberFormat="1" applyFont="1" applyBorder="1" applyProtection="1"/>
    <xf numFmtId="173" fontId="9" fillId="0" borderId="65" xfId="0" applyNumberFormat="1" applyFont="1" applyBorder="1" applyProtection="1"/>
    <xf numFmtId="173" fontId="9" fillId="0" borderId="12" xfId="0" applyNumberFormat="1" applyFont="1" applyBorder="1" applyProtection="1"/>
    <xf numFmtId="173" fontId="9" fillId="0" borderId="25" xfId="0" applyNumberFormat="1" applyFont="1" applyBorder="1" applyProtection="1"/>
    <xf numFmtId="0" fontId="10" fillId="0" borderId="11" xfId="0" applyFont="1" applyFill="1" applyBorder="1" applyAlignment="1" applyProtection="1">
      <alignment horizontal="left" indent="1"/>
    </xf>
    <xf numFmtId="0" fontId="10" fillId="0" borderId="22" xfId="0" applyNumberFormat="1" applyFont="1" applyBorder="1" applyAlignment="1" applyProtection="1">
      <alignment horizontal="center"/>
    </xf>
    <xf numFmtId="173" fontId="10" fillId="0" borderId="22" xfId="0" applyNumberFormat="1" applyFont="1" applyBorder="1" applyAlignment="1" applyProtection="1">
      <alignment horizontal="right"/>
    </xf>
    <xf numFmtId="173" fontId="10" fillId="0" borderId="13" xfId="0" applyNumberFormat="1" applyFont="1" applyBorder="1" applyAlignment="1" applyProtection="1">
      <alignment horizontal="right"/>
    </xf>
    <xf numFmtId="173" fontId="10" fillId="0" borderId="0" xfId="0" applyNumberFormat="1" applyFont="1" applyBorder="1" applyAlignment="1" applyProtection="1">
      <alignment horizontal="right"/>
    </xf>
    <xf numFmtId="173" fontId="10" fillId="0" borderId="26" xfId="0" applyNumberFormat="1" applyFont="1" applyBorder="1" applyAlignment="1" applyProtection="1">
      <alignment horizontal="right"/>
    </xf>
    <xf numFmtId="173" fontId="9" fillId="28" borderId="0" xfId="0" applyNumberFormat="1" applyFont="1" applyFill="1" applyBorder="1" applyProtection="1">
      <protection locked="0"/>
    </xf>
    <xf numFmtId="170" fontId="9" fillId="0" borderId="10" xfId="0" applyNumberFormat="1" applyFont="1" applyFill="1" applyBorder="1"/>
    <xf numFmtId="173" fontId="10" fillId="0" borderId="74" xfId="0" applyNumberFormat="1" applyFont="1" applyBorder="1"/>
    <xf numFmtId="173" fontId="10" fillId="0" borderId="52" xfId="0" applyNumberFormat="1" applyFont="1" applyBorder="1"/>
    <xf numFmtId="170" fontId="10" fillId="0" borderId="13" xfId="0" applyNumberFormat="1" applyFont="1" applyBorder="1"/>
    <xf numFmtId="0" fontId="9" fillId="0" borderId="29" xfId="0" applyNumberFormat="1" applyFont="1" applyBorder="1" applyAlignment="1" applyProtection="1">
      <alignment horizontal="center"/>
      <protection locked="0"/>
    </xf>
    <xf numFmtId="173" fontId="10" fillId="0" borderId="29" xfId="0" applyNumberFormat="1" applyFont="1" applyFill="1" applyBorder="1"/>
    <xf numFmtId="173" fontId="10" fillId="0" borderId="75" xfId="0" applyNumberFormat="1" applyFont="1" applyBorder="1"/>
    <xf numFmtId="170" fontId="10" fillId="0" borderId="76" xfId="0" applyNumberFormat="1" applyFont="1" applyBorder="1"/>
    <xf numFmtId="170" fontId="10" fillId="0" borderId="77" xfId="0" applyNumberFormat="1" applyFont="1" applyBorder="1"/>
    <xf numFmtId="0" fontId="14" fillId="0" borderId="0" xfId="0" applyFont="1" applyBorder="1" applyProtection="1"/>
    <xf numFmtId="0" fontId="9" fillId="0" borderId="0" xfId="0" applyFont="1" applyBorder="1" applyAlignment="1" applyProtection="1">
      <alignment horizontal="center"/>
      <protection locked="0"/>
    </xf>
    <xf numFmtId="0" fontId="13" fillId="0" borderId="0" xfId="0" applyFont="1" applyFill="1" applyBorder="1" applyProtection="1">
      <protection locked="0"/>
    </xf>
    <xf numFmtId="170" fontId="10" fillId="0" borderId="0" xfId="0" applyNumberFormat="1" applyFont="1" applyFill="1" applyBorder="1" applyProtection="1">
      <protection locked="0"/>
    </xf>
    <xf numFmtId="0" fontId="9" fillId="0" borderId="0" xfId="0" applyFont="1" applyProtection="1">
      <protection locked="0"/>
    </xf>
    <xf numFmtId="0" fontId="13" fillId="0" borderId="0" xfId="0" quotePrefix="1" applyFont="1" applyBorder="1" applyProtection="1"/>
    <xf numFmtId="0" fontId="10" fillId="0" borderId="0" xfId="0" applyFont="1" applyBorder="1" applyProtection="1">
      <protection locked="0"/>
    </xf>
    <xf numFmtId="170" fontId="10" fillId="0" borderId="0" xfId="0" applyNumberFormat="1" applyFont="1" applyBorder="1" applyProtection="1">
      <protection locked="0"/>
    </xf>
    <xf numFmtId="0" fontId="13" fillId="0" borderId="0" xfId="0" applyFont="1" applyBorder="1" applyAlignment="1" applyProtection="1">
      <alignment horizontal="left"/>
    </xf>
    <xf numFmtId="0" fontId="13" fillId="0" borderId="0" xfId="0" applyFont="1" applyBorder="1" applyAlignment="1" applyProtection="1">
      <alignment horizontal="center"/>
      <protection locked="0"/>
    </xf>
    <xf numFmtId="0" fontId="13" fillId="0" borderId="0" xfId="0" applyFont="1" applyBorder="1" applyAlignment="1" applyProtection="1">
      <alignment horizontal="right"/>
      <protection locked="0"/>
    </xf>
    <xf numFmtId="166" fontId="9" fillId="0" borderId="0" xfId="28" applyNumberFormat="1" applyFont="1" applyProtection="1">
      <protection locked="0"/>
    </xf>
    <xf numFmtId="0" fontId="9" fillId="0" borderId="0" xfId="0" applyFont="1" applyAlignment="1" applyProtection="1">
      <alignment horizontal="center"/>
      <protection locked="0"/>
    </xf>
    <xf numFmtId="0" fontId="13" fillId="0" borderId="0" xfId="0" applyFont="1" applyBorder="1" applyAlignment="1" applyProtection="1">
      <alignment horizontal="right"/>
    </xf>
    <xf numFmtId="0" fontId="10" fillId="0" borderId="11" xfId="0" applyFont="1" applyFill="1" applyBorder="1" applyAlignment="1" applyProtection="1">
      <alignment horizontal="left" vertical="center"/>
    </xf>
    <xf numFmtId="0" fontId="10" fillId="0" borderId="22" xfId="0" applyFont="1" applyFill="1" applyBorder="1" applyAlignment="1" applyProtection="1">
      <alignment vertical="center"/>
    </xf>
    <xf numFmtId="0" fontId="9" fillId="0" borderId="3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9" fontId="10" fillId="0" borderId="22" xfId="42" applyFont="1" applyFill="1" applyBorder="1" applyAlignment="1">
      <alignment horizontal="center" vertical="center"/>
    </xf>
    <xf numFmtId="0" fontId="9" fillId="0" borderId="13" xfId="0" applyFont="1" applyFill="1" applyBorder="1" applyAlignment="1">
      <alignment horizontal="center" vertical="center"/>
    </xf>
    <xf numFmtId="173" fontId="10" fillId="0" borderId="37" xfId="0" applyNumberFormat="1" applyFont="1" applyBorder="1" applyAlignment="1">
      <alignment horizontal="right"/>
    </xf>
    <xf numFmtId="173" fontId="10" fillId="0" borderId="78" xfId="0" applyNumberFormat="1" applyFont="1" applyBorder="1" applyAlignment="1" applyProtection="1">
      <alignment horizontal="right"/>
    </xf>
    <xf numFmtId="173" fontId="9" fillId="0" borderId="69" xfId="0" applyNumberFormat="1" applyFont="1" applyBorder="1" applyProtection="1"/>
    <xf numFmtId="173" fontId="9" fillId="0" borderId="79" xfId="0" applyNumberFormat="1" applyFont="1" applyBorder="1" applyProtection="1"/>
    <xf numFmtId="173" fontId="10" fillId="0" borderId="37" xfId="0" applyNumberFormat="1" applyFont="1" applyBorder="1" applyAlignment="1" applyProtection="1">
      <alignment horizontal="right"/>
    </xf>
    <xf numFmtId="173" fontId="10" fillId="0" borderId="78" xfId="0" applyNumberFormat="1" applyFont="1" applyBorder="1"/>
    <xf numFmtId="173" fontId="10" fillId="0" borderId="34" xfId="0" applyNumberFormat="1" applyFont="1" applyFill="1" applyBorder="1"/>
    <xf numFmtId="0" fontId="9" fillId="0" borderId="25" xfId="0" applyFont="1" applyBorder="1"/>
    <xf numFmtId="0" fontId="9" fillId="0" borderId="23" xfId="0" applyFont="1" applyBorder="1"/>
    <xf numFmtId="173" fontId="10" fillId="0" borderId="30" xfId="0" applyNumberFormat="1" applyFont="1" applyFill="1" applyBorder="1"/>
    <xf numFmtId="173" fontId="10" fillId="0" borderId="49" xfId="0" applyNumberFormat="1" applyFont="1" applyBorder="1"/>
    <xf numFmtId="173" fontId="9" fillId="0" borderId="43" xfId="0" applyNumberFormat="1" applyFont="1" applyBorder="1"/>
    <xf numFmtId="9" fontId="9" fillId="0" borderId="43" xfId="42" applyFont="1" applyBorder="1" applyAlignment="1">
      <alignment horizontal="center"/>
    </xf>
    <xf numFmtId="173" fontId="10" fillId="0" borderId="67" xfId="0" applyNumberFormat="1" applyFont="1" applyBorder="1"/>
    <xf numFmtId="0" fontId="9" fillId="0" borderId="11" xfId="0" applyNumberFormat="1" applyFont="1" applyFill="1" applyBorder="1" applyAlignment="1">
      <alignment horizontal="left" indent="1"/>
    </xf>
    <xf numFmtId="0" fontId="9" fillId="0" borderId="11" xfId="0" applyNumberFormat="1" applyFont="1" applyBorder="1" applyAlignment="1">
      <alignment horizontal="left" indent="1"/>
    </xf>
    <xf numFmtId="0" fontId="9" fillId="0" borderId="53" xfId="0" applyFont="1" applyBorder="1" applyAlignment="1">
      <alignment horizontal="center"/>
    </xf>
    <xf numFmtId="0" fontId="9" fillId="0" borderId="51" xfId="0" applyFont="1" applyBorder="1" applyAlignment="1">
      <alignment horizontal="center"/>
    </xf>
    <xf numFmtId="0" fontId="9" fillId="0" borderId="46" xfId="0" applyFont="1" applyBorder="1" applyAlignment="1">
      <alignment horizontal="center" vertical="top"/>
    </xf>
    <xf numFmtId="173" fontId="10" fillId="0" borderId="55" xfId="0" applyNumberFormat="1" applyFont="1" applyBorder="1" applyAlignment="1">
      <alignment vertical="top"/>
    </xf>
    <xf numFmtId="173" fontId="10" fillId="0" borderId="32" xfId="0" applyNumberFormat="1" applyFont="1" applyBorder="1" applyAlignment="1">
      <alignment vertical="top"/>
    </xf>
    <xf numFmtId="173" fontId="10" fillId="0" borderId="31" xfId="0" applyNumberFormat="1" applyFont="1" applyBorder="1" applyAlignment="1">
      <alignment vertical="top"/>
    </xf>
    <xf numFmtId="9" fontId="10" fillId="0" borderId="31" xfId="42" applyFont="1" applyBorder="1" applyAlignment="1">
      <alignment horizontal="center" vertical="top"/>
    </xf>
    <xf numFmtId="173" fontId="10" fillId="0" borderId="47" xfId="0" applyNumberFormat="1" applyFont="1" applyBorder="1" applyAlignment="1">
      <alignment vertical="top"/>
    </xf>
    <xf numFmtId="0" fontId="10" fillId="0" borderId="11" xfId="0" applyNumberFormat="1" applyFont="1" applyBorder="1" applyAlignment="1">
      <alignment wrapText="1"/>
    </xf>
    <xf numFmtId="173" fontId="10" fillId="0" borderId="43" xfId="0" applyNumberFormat="1" applyFont="1" applyBorder="1" applyAlignment="1">
      <alignment vertical="top"/>
    </xf>
    <xf numFmtId="173" fontId="10" fillId="0" borderId="49" xfId="0" applyNumberFormat="1" applyFont="1" applyBorder="1" applyAlignment="1">
      <alignment vertical="top"/>
    </xf>
    <xf numFmtId="173" fontId="10" fillId="0" borderId="60" xfId="0" applyNumberFormat="1" applyFont="1" applyBorder="1" applyAlignment="1">
      <alignment vertical="top"/>
    </xf>
    <xf numFmtId="173" fontId="9" fillId="0" borderId="10" xfId="0" applyNumberFormat="1" applyFont="1" applyFill="1" applyBorder="1"/>
    <xf numFmtId="173" fontId="9" fillId="0" borderId="45" xfId="0" applyNumberFormat="1" applyFont="1" applyFill="1" applyBorder="1"/>
    <xf numFmtId="173" fontId="9" fillId="0" borderId="10" xfId="0" applyNumberFormat="1" applyFont="1" applyFill="1" applyBorder="1" applyProtection="1">
      <protection locked="0"/>
    </xf>
    <xf numFmtId="173" fontId="9" fillId="0" borderId="45" xfId="0" applyNumberFormat="1" applyFont="1" applyFill="1" applyBorder="1" applyProtection="1">
      <protection locked="0"/>
    </xf>
    <xf numFmtId="173" fontId="9" fillId="0" borderId="22" xfId="0" applyNumberFormat="1" applyFont="1" applyFill="1" applyBorder="1" applyProtection="1">
      <protection locked="0"/>
    </xf>
    <xf numFmtId="173" fontId="9" fillId="0" borderId="46" xfId="0" applyNumberFormat="1" applyFont="1" applyFill="1" applyBorder="1" applyProtection="1">
      <protection locked="0"/>
    </xf>
    <xf numFmtId="0" fontId="10" fillId="0" borderId="27" xfId="0" applyFont="1" applyBorder="1" applyAlignment="1">
      <alignment horizontal="left"/>
    </xf>
    <xf numFmtId="0" fontId="9" fillId="0" borderId="11" xfId="0" applyFont="1" applyFill="1" applyBorder="1" applyAlignment="1">
      <alignment horizontal="left" indent="2"/>
    </xf>
    <xf numFmtId="0" fontId="10" fillId="0" borderId="38" xfId="0" applyFont="1" applyBorder="1"/>
    <xf numFmtId="0" fontId="9" fillId="0" borderId="56" xfId="0" applyFont="1" applyBorder="1" applyAlignment="1">
      <alignment horizontal="center"/>
    </xf>
    <xf numFmtId="173" fontId="10" fillId="0" borderId="38" xfId="0" applyNumberFormat="1" applyFont="1" applyFill="1" applyBorder="1"/>
    <xf numFmtId="173" fontId="10" fillId="0" borderId="64" xfId="0" applyNumberFormat="1" applyFont="1" applyFill="1" applyBorder="1"/>
    <xf numFmtId="9" fontId="10" fillId="0" borderId="29" xfId="42" applyFont="1" applyFill="1" applyBorder="1" applyAlignment="1">
      <alignment horizontal="center"/>
    </xf>
    <xf numFmtId="173" fontId="10" fillId="0" borderId="56" xfId="0" applyNumberFormat="1" applyFont="1" applyFill="1" applyBorder="1"/>
    <xf numFmtId="173" fontId="10" fillId="0" borderId="60" xfId="0" applyNumberFormat="1" applyFont="1" applyBorder="1"/>
    <xf numFmtId="173" fontId="10" fillId="0" borderId="31" xfId="0" applyNumberFormat="1" applyFont="1" applyFill="1" applyBorder="1"/>
    <xf numFmtId="0" fontId="9" fillId="0" borderId="37" xfId="0" applyFont="1" applyFill="1" applyBorder="1" applyAlignment="1">
      <alignment horizontal="left" vertical="top" wrapText="1"/>
    </xf>
    <xf numFmtId="0" fontId="10" fillId="0" borderId="11" xfId="0" applyNumberFormat="1" applyFont="1" applyBorder="1"/>
    <xf numFmtId="0" fontId="9" fillId="0" borderId="11" xfId="0" applyNumberFormat="1" applyFont="1" applyBorder="1"/>
    <xf numFmtId="0" fontId="12" fillId="0" borderId="11" xfId="0" applyNumberFormat="1" applyFont="1" applyBorder="1"/>
    <xf numFmtId="0" fontId="10" fillId="0" borderId="38" xfId="0" applyNumberFormat="1" applyFont="1" applyBorder="1"/>
    <xf numFmtId="173" fontId="9" fillId="0" borderId="26" xfId="0" applyNumberFormat="1" applyFont="1" applyFill="1" applyBorder="1" applyProtection="1">
      <protection locked="0"/>
    </xf>
    <xf numFmtId="169" fontId="9" fillId="0" borderId="43" xfId="42" applyNumberFormat="1" applyFont="1" applyFill="1" applyBorder="1" applyAlignment="1">
      <alignment horizontal="center" vertical="top" wrapText="1"/>
    </xf>
    <xf numFmtId="169" fontId="10" fillId="0" borderId="43" xfId="42" applyNumberFormat="1" applyFont="1" applyFill="1" applyBorder="1" applyAlignment="1">
      <alignment horizontal="center" vertical="top" wrapText="1"/>
    </xf>
    <xf numFmtId="0" fontId="9" fillId="0" borderId="59" xfId="0" applyFont="1" applyBorder="1"/>
    <xf numFmtId="173" fontId="9" fillId="0" borderId="66" xfId="0" applyNumberFormat="1" applyFont="1" applyBorder="1"/>
    <xf numFmtId="0" fontId="10" fillId="0" borderId="27" xfId="0" applyNumberFormat="1" applyFont="1" applyBorder="1" applyAlignment="1">
      <alignment vertical="center"/>
    </xf>
    <xf numFmtId="0" fontId="10" fillId="0" borderId="40" xfId="0" applyNumberFormat="1" applyFont="1" applyBorder="1" applyAlignment="1">
      <alignment horizontal="left"/>
    </xf>
    <xf numFmtId="0" fontId="10" fillId="0" borderId="35" xfId="0" applyNumberFormat="1" applyFont="1" applyBorder="1" applyAlignment="1">
      <alignment vertical="center"/>
    </xf>
    <xf numFmtId="0" fontId="12" fillId="0" borderId="27" xfId="0" applyFont="1" applyBorder="1"/>
    <xf numFmtId="170" fontId="9" fillId="0" borderId="38" xfId="0" quotePrefix="1" applyNumberFormat="1" applyFont="1" applyBorder="1" applyAlignment="1">
      <alignment horizontal="center"/>
    </xf>
    <xf numFmtId="170" fontId="9" fillId="0" borderId="30" xfId="0" quotePrefix="1" applyNumberFormat="1" applyFont="1" applyBorder="1" applyAlignment="1">
      <alignment horizontal="center"/>
    </xf>
    <xf numFmtId="170" fontId="9" fillId="0" borderId="29" xfId="0" quotePrefix="1" applyNumberFormat="1" applyFont="1" applyBorder="1" applyAlignment="1">
      <alignment horizontal="center"/>
    </xf>
    <xf numFmtId="170" fontId="9" fillId="0" borderId="29" xfId="0" applyNumberFormat="1" applyFont="1" applyBorder="1" applyAlignment="1">
      <alignment horizontal="center"/>
    </xf>
    <xf numFmtId="170" fontId="9" fillId="0" borderId="56" xfId="0" quotePrefix="1" applyNumberFormat="1" applyFont="1" applyBorder="1" applyAlignment="1">
      <alignment horizontal="center"/>
    </xf>
    <xf numFmtId="0" fontId="10" fillId="0" borderId="11" xfId="0" applyNumberFormat="1" applyFont="1" applyBorder="1" applyAlignment="1">
      <alignment horizontal="left" indent="1"/>
    </xf>
    <xf numFmtId="0" fontId="12" fillId="0" borderId="11" xfId="0" applyFont="1" applyBorder="1" applyAlignment="1">
      <alignment horizontal="left"/>
    </xf>
    <xf numFmtId="0" fontId="10" fillId="0" borderId="27" xfId="0" applyNumberFormat="1" applyFont="1" applyBorder="1"/>
    <xf numFmtId="0" fontId="10" fillId="0" borderId="27" xfId="0" applyFont="1" applyBorder="1" applyAlignment="1">
      <alignment vertical="center" wrapText="1"/>
    </xf>
    <xf numFmtId="0" fontId="10" fillId="0" borderId="54" xfId="0" applyFont="1" applyBorder="1" applyAlignment="1">
      <alignment horizontal="center"/>
    </xf>
    <xf numFmtId="0" fontId="10" fillId="0" borderId="40" xfId="0" applyFont="1" applyBorder="1" applyAlignment="1">
      <alignment wrapText="1"/>
    </xf>
    <xf numFmtId="173" fontId="9" fillId="0" borderId="67" xfId="0" applyNumberFormat="1" applyFont="1" applyBorder="1"/>
    <xf numFmtId="173" fontId="9" fillId="0" borderId="52" xfId="0" applyNumberFormat="1" applyFont="1" applyBorder="1"/>
    <xf numFmtId="173" fontId="9" fillId="0" borderId="49" xfId="0" applyNumberFormat="1" applyFont="1" applyBorder="1"/>
    <xf numFmtId="0" fontId="13" fillId="0" borderId="11" xfId="0" applyNumberFormat="1" applyFont="1" applyBorder="1" applyAlignment="1">
      <alignment horizontal="left" indent="2"/>
    </xf>
    <xf numFmtId="169" fontId="10" fillId="0" borderId="37" xfId="42" applyNumberFormat="1" applyFont="1" applyFill="1" applyBorder="1" applyAlignment="1">
      <alignment horizontal="center" vertical="top" wrapText="1"/>
    </xf>
    <xf numFmtId="173" fontId="10" fillId="0" borderId="54" xfId="0" applyNumberFormat="1" applyFont="1" applyBorder="1"/>
    <xf numFmtId="173" fontId="10" fillId="0" borderId="62" xfId="0" applyNumberFormat="1" applyFont="1" applyBorder="1"/>
    <xf numFmtId="173" fontId="10" fillId="0" borderId="36" xfId="0" applyNumberFormat="1" applyFont="1" applyBorder="1"/>
    <xf numFmtId="169" fontId="10" fillId="0" borderId="36" xfId="42" applyNumberFormat="1" applyFont="1" applyFill="1" applyBorder="1" applyAlignment="1">
      <alignment horizontal="center" vertical="top" wrapText="1"/>
    </xf>
    <xf numFmtId="173" fontId="10" fillId="0" borderId="51" xfId="0" applyNumberFormat="1" applyFont="1" applyBorder="1"/>
    <xf numFmtId="0" fontId="9" fillId="0" borderId="10" xfId="0" applyFont="1" applyFill="1" applyBorder="1" applyAlignment="1">
      <alignment horizontal="left" indent="1"/>
    </xf>
    <xf numFmtId="0" fontId="10" fillId="0" borderId="10" xfId="0" applyFont="1" applyFill="1" applyBorder="1" applyAlignment="1">
      <alignment wrapText="1"/>
    </xf>
    <xf numFmtId="0" fontId="10" fillId="0" borderId="10" xfId="0" applyFont="1" applyFill="1" applyBorder="1"/>
    <xf numFmtId="0" fontId="13" fillId="0" borderId="0" xfId="0" applyFont="1" applyBorder="1" applyProtection="1"/>
    <xf numFmtId="0" fontId="9" fillId="0" borderId="31" xfId="0" applyFont="1" applyBorder="1" applyAlignment="1">
      <alignment horizontal="center"/>
    </xf>
    <xf numFmtId="0" fontId="10" fillId="0" borderId="35" xfId="0" applyNumberFormat="1" applyFont="1" applyBorder="1" applyAlignment="1">
      <alignment horizontal="left" wrapText="1"/>
    </xf>
    <xf numFmtId="0" fontId="9" fillId="0" borderId="47" xfId="0" applyFont="1" applyBorder="1" applyAlignment="1">
      <alignment horizontal="center"/>
    </xf>
    <xf numFmtId="0" fontId="0" fillId="0" borderId="0" xfId="0" applyProtection="1">
      <protection locked="0"/>
    </xf>
    <xf numFmtId="0" fontId="5" fillId="0" borderId="0" xfId="0" applyFont="1" applyProtection="1">
      <protection locked="0"/>
    </xf>
    <xf numFmtId="175" fontId="5" fillId="0" borderId="11" xfId="0" applyNumberFormat="1" applyFont="1" applyBorder="1" applyAlignment="1">
      <alignment horizontal="left"/>
    </xf>
    <xf numFmtId="174" fontId="9" fillId="0" borderId="45" xfId="42" applyNumberFormat="1" applyFont="1" applyBorder="1"/>
    <xf numFmtId="174" fontId="10" fillId="0" borderId="22" xfId="42" applyNumberFormat="1" applyFont="1" applyBorder="1" applyAlignment="1">
      <alignment vertical="top"/>
    </xf>
    <xf numFmtId="174" fontId="10" fillId="0" borderId="45" xfId="42" applyNumberFormat="1" applyFont="1" applyBorder="1" applyAlignment="1">
      <alignment vertical="top"/>
    </xf>
    <xf numFmtId="174" fontId="10" fillId="0" borderId="43" xfId="42" applyNumberFormat="1" applyFont="1" applyBorder="1"/>
    <xf numFmtId="172" fontId="10" fillId="25" borderId="22" xfId="0" applyNumberFormat="1" applyFont="1" applyFill="1" applyBorder="1"/>
    <xf numFmtId="174" fontId="10" fillId="25" borderId="22" xfId="42" applyNumberFormat="1" applyFont="1" applyFill="1" applyBorder="1"/>
    <xf numFmtId="173" fontId="10" fillId="0" borderId="47" xfId="0" applyNumberFormat="1" applyFont="1" applyFill="1" applyBorder="1"/>
    <xf numFmtId="173" fontId="10" fillId="0" borderId="61" xfId="0" applyNumberFormat="1" applyFont="1" applyFill="1" applyBorder="1"/>
    <xf numFmtId="9" fontId="10" fillId="0" borderId="31" xfId="42" applyFont="1" applyFill="1" applyBorder="1" applyAlignment="1">
      <alignment horizontal="center"/>
    </xf>
    <xf numFmtId="173" fontId="10" fillId="0" borderId="80" xfId="0" applyNumberFormat="1" applyFont="1" applyFill="1" applyBorder="1"/>
    <xf numFmtId="173" fontId="10" fillId="0" borderId="10" xfId="0" applyNumberFormat="1" applyFont="1" applyFill="1" applyBorder="1"/>
    <xf numFmtId="173" fontId="10" fillId="0" borderId="26" xfId="0" applyNumberFormat="1" applyFont="1" applyFill="1" applyBorder="1"/>
    <xf numFmtId="173" fontId="10" fillId="0" borderId="46" xfId="0" applyNumberFormat="1" applyFont="1" applyFill="1" applyBorder="1"/>
    <xf numFmtId="0" fontId="9" fillId="0" borderId="22" xfId="0" applyNumberFormat="1" applyFont="1" applyBorder="1" applyAlignment="1">
      <alignment horizontal="center"/>
    </xf>
    <xf numFmtId="173" fontId="10" fillId="0" borderId="31" xfId="0" applyNumberFormat="1" applyFont="1" applyFill="1" applyBorder="1" applyProtection="1"/>
    <xf numFmtId="173" fontId="10" fillId="0" borderId="47" xfId="0" applyNumberFormat="1" applyFont="1" applyFill="1" applyBorder="1" applyProtection="1"/>
    <xf numFmtId="0" fontId="9" fillId="0" borderId="26" xfId="0" applyNumberFormat="1" applyFont="1" applyFill="1" applyBorder="1" applyAlignment="1" applyProtection="1">
      <alignment horizontal="left" indent="2"/>
    </xf>
    <xf numFmtId="173" fontId="9" fillId="0" borderId="43" xfId="0" applyNumberFormat="1" applyFont="1" applyFill="1" applyBorder="1" applyProtection="1"/>
    <xf numFmtId="173" fontId="9" fillId="0" borderId="52" xfId="0" applyNumberFormat="1" applyFont="1" applyFill="1" applyBorder="1" applyProtection="1"/>
    <xf numFmtId="173" fontId="9" fillId="0" borderId="49" xfId="0" applyNumberFormat="1" applyFont="1" applyFill="1" applyBorder="1" applyProtection="1"/>
    <xf numFmtId="173" fontId="10" fillId="0" borderId="43" xfId="0" applyNumberFormat="1" applyFont="1" applyFill="1" applyBorder="1" applyProtection="1"/>
    <xf numFmtId="173" fontId="10" fillId="0" borderId="78" xfId="0" applyNumberFormat="1" applyFont="1" applyFill="1" applyBorder="1" applyProtection="1"/>
    <xf numFmtId="173" fontId="10" fillId="0" borderId="52" xfId="0" applyNumberFormat="1" applyFont="1" applyFill="1" applyBorder="1" applyProtection="1"/>
    <xf numFmtId="173" fontId="10" fillId="0" borderId="49" xfId="0" applyNumberFormat="1" applyFont="1" applyFill="1" applyBorder="1" applyProtection="1"/>
    <xf numFmtId="0" fontId="10" fillId="0" borderId="11" xfId="0" applyNumberFormat="1" applyFont="1" applyBorder="1" applyProtection="1"/>
    <xf numFmtId="173" fontId="10" fillId="0" borderId="43" xfId="0" applyNumberFormat="1" applyFont="1" applyFill="1" applyBorder="1"/>
    <xf numFmtId="173" fontId="10" fillId="0" borderId="49" xfId="0" applyNumberFormat="1" applyFont="1" applyFill="1" applyBorder="1"/>
    <xf numFmtId="0" fontId="9" fillId="0" borderId="11" xfId="0" applyNumberFormat="1" applyFont="1" applyBorder="1" applyProtection="1"/>
    <xf numFmtId="0" fontId="12" fillId="0" borderId="11" xfId="0" applyNumberFormat="1" applyFont="1" applyBorder="1" applyProtection="1"/>
    <xf numFmtId="0" fontId="15" fillId="0" borderId="22" xfId="0" applyNumberFormat="1" applyFont="1" applyBorder="1" applyAlignment="1" applyProtection="1">
      <alignment horizontal="center"/>
    </xf>
    <xf numFmtId="0" fontId="10" fillId="0" borderId="27" xfId="0" applyNumberFormat="1" applyFont="1" applyBorder="1" applyProtection="1"/>
    <xf numFmtId="0" fontId="9" fillId="0" borderId="29" xfId="0" applyNumberFormat="1" applyFont="1" applyBorder="1" applyAlignment="1" applyProtection="1">
      <alignment horizontal="center"/>
    </xf>
    <xf numFmtId="0" fontId="14" fillId="0" borderId="0" xfId="0" applyFont="1" applyBorder="1" applyAlignment="1" applyProtection="1">
      <alignment horizontal="left"/>
    </xf>
    <xf numFmtId="0" fontId="13" fillId="0" borderId="0" xfId="0" applyFont="1" applyBorder="1" applyAlignment="1" applyProtection="1">
      <alignment horizontal="center"/>
    </xf>
    <xf numFmtId="170" fontId="11" fillId="0" borderId="0" xfId="0" applyNumberFormat="1" applyFont="1" applyBorder="1" applyProtection="1">
      <protection locked="0"/>
    </xf>
    <xf numFmtId="0" fontId="11" fillId="0" borderId="0" xfId="0" applyFont="1" applyBorder="1" applyProtection="1"/>
    <xf numFmtId="170" fontId="11" fillId="0" borderId="0" xfId="0" applyNumberFormat="1" applyFont="1" applyBorder="1" applyProtection="1"/>
    <xf numFmtId="166" fontId="13" fillId="0" borderId="0" xfId="28" applyNumberFormat="1" applyFont="1" applyBorder="1" applyAlignment="1">
      <alignment horizontal="right"/>
    </xf>
    <xf numFmtId="166" fontId="13" fillId="0" borderId="0" xfId="28" applyNumberFormat="1" applyFont="1" applyFill="1" applyBorder="1" applyAlignment="1">
      <alignment horizontal="right"/>
    </xf>
    <xf numFmtId="173" fontId="9" fillId="0" borderId="0" xfId="0" applyNumberFormat="1" applyFont="1"/>
    <xf numFmtId="0" fontId="10" fillId="0" borderId="23" xfId="0" applyFont="1" applyFill="1" applyBorder="1" applyAlignment="1">
      <alignment horizontal="center"/>
    </xf>
    <xf numFmtId="173" fontId="9" fillId="0" borderId="31" xfId="0" applyNumberFormat="1" applyFont="1" applyFill="1" applyBorder="1"/>
    <xf numFmtId="9" fontId="9" fillId="0" borderId="31" xfId="42" applyFont="1" applyFill="1" applyBorder="1" applyAlignment="1">
      <alignment horizontal="center"/>
    </xf>
    <xf numFmtId="173" fontId="10" fillId="0" borderId="24" xfId="0" applyNumberFormat="1" applyFont="1" applyFill="1" applyBorder="1"/>
    <xf numFmtId="170" fontId="11" fillId="0" borderId="0" xfId="0" applyNumberFormat="1" applyFont="1" applyFill="1" applyBorder="1" applyProtection="1">
      <protection locked="0"/>
    </xf>
    <xf numFmtId="170" fontId="11" fillId="0" borderId="0" xfId="0" applyNumberFormat="1" applyFont="1" applyFill="1" applyBorder="1" applyProtection="1"/>
    <xf numFmtId="173" fontId="10" fillId="0" borderId="22" xfId="0" applyNumberFormat="1" applyFont="1" applyFill="1" applyBorder="1" applyProtection="1"/>
    <xf numFmtId="9" fontId="10" fillId="0" borderId="24" xfId="42" applyFont="1" applyFill="1" applyBorder="1" applyAlignment="1">
      <alignment horizontal="center"/>
    </xf>
    <xf numFmtId="173" fontId="10" fillId="0" borderId="50" xfId="0" applyNumberFormat="1" applyFont="1" applyFill="1" applyBorder="1"/>
    <xf numFmtId="173" fontId="10" fillId="0" borderId="58" xfId="0" applyNumberFormat="1" applyFont="1" applyFill="1" applyBorder="1"/>
    <xf numFmtId="173" fontId="10" fillId="0" borderId="46" xfId="0" applyNumberFormat="1" applyFont="1" applyFill="1" applyBorder="1" applyProtection="1"/>
    <xf numFmtId="173" fontId="9" fillId="0" borderId="46" xfId="0" applyNumberFormat="1" applyFont="1" applyFill="1" applyBorder="1" applyProtection="1"/>
    <xf numFmtId="173" fontId="9" fillId="0" borderId="46" xfId="29" applyNumberFormat="1" applyFont="1" applyFill="1" applyBorder="1" applyProtection="1"/>
    <xf numFmtId="173" fontId="10" fillId="0" borderId="55" xfId="0" applyNumberFormat="1" applyFont="1" applyFill="1" applyBorder="1"/>
    <xf numFmtId="173" fontId="9" fillId="0" borderId="13" xfId="0" applyNumberFormat="1" applyFont="1" applyFill="1" applyBorder="1"/>
    <xf numFmtId="0" fontId="0" fillId="0" borderId="0" xfId="0" applyProtection="1"/>
    <xf numFmtId="0" fontId="6" fillId="29" borderId="72" xfId="0" applyFont="1" applyFill="1" applyBorder="1" applyAlignment="1" applyProtection="1">
      <alignment horizontal="center"/>
    </xf>
    <xf numFmtId="173" fontId="9" fillId="0" borderId="10" xfId="0" applyNumberFormat="1" applyFont="1" applyFill="1" applyBorder="1" applyProtection="1"/>
    <xf numFmtId="173" fontId="9" fillId="0" borderId="26" xfId="0" applyNumberFormat="1" applyFont="1" applyFill="1" applyBorder="1" applyProtection="1"/>
    <xf numFmtId="173" fontId="9" fillId="0" borderId="37" xfId="0" applyNumberFormat="1" applyFont="1" applyFill="1" applyBorder="1" applyProtection="1"/>
    <xf numFmtId="173" fontId="9" fillId="0" borderId="54" xfId="0" applyNumberFormat="1" applyFont="1" applyFill="1" applyBorder="1" applyProtection="1"/>
    <xf numFmtId="173" fontId="9" fillId="0" borderId="66" xfId="0" applyNumberFormat="1" applyFont="1" applyFill="1" applyBorder="1" applyProtection="1"/>
    <xf numFmtId="173" fontId="9" fillId="0" borderId="81" xfId="0" applyNumberFormat="1" applyFont="1" applyFill="1" applyBorder="1" applyProtection="1"/>
    <xf numFmtId="173" fontId="9" fillId="0" borderId="51" xfId="0" applyNumberFormat="1" applyFont="1" applyFill="1" applyBorder="1" applyProtection="1"/>
    <xf numFmtId="173" fontId="10" fillId="0" borderId="10" xfId="0" applyNumberFormat="1" applyFont="1" applyFill="1" applyBorder="1" applyAlignment="1" applyProtection="1">
      <alignment vertical="top"/>
    </xf>
    <xf numFmtId="173" fontId="10" fillId="0" borderId="26" xfId="0" applyNumberFormat="1" applyFont="1" applyFill="1" applyBorder="1" applyAlignment="1" applyProtection="1">
      <alignment vertical="top"/>
    </xf>
    <xf numFmtId="173" fontId="10" fillId="0" borderId="22" xfId="0" applyNumberFormat="1" applyFont="1" applyFill="1" applyBorder="1" applyAlignment="1" applyProtection="1">
      <alignment vertical="top"/>
    </xf>
    <xf numFmtId="173" fontId="10" fillId="0" borderId="37" xfId="0" applyNumberFormat="1" applyFont="1" applyFill="1" applyBorder="1" applyAlignment="1" applyProtection="1">
      <alignment vertical="top"/>
    </xf>
    <xf numFmtId="173" fontId="10" fillId="0" borderId="46" xfId="0" applyNumberFormat="1" applyFont="1" applyFill="1" applyBorder="1" applyAlignment="1" applyProtection="1">
      <alignment vertical="top"/>
    </xf>
    <xf numFmtId="173" fontId="10" fillId="0" borderId="54" xfId="0" applyNumberFormat="1" applyFont="1" applyFill="1" applyBorder="1" applyProtection="1"/>
    <xf numFmtId="173" fontId="10" fillId="0" borderId="66" xfId="0" applyNumberFormat="1" applyFont="1" applyFill="1" applyBorder="1" applyProtection="1"/>
    <xf numFmtId="173" fontId="10" fillId="0" borderId="36" xfId="0" applyNumberFormat="1" applyFont="1" applyFill="1" applyBorder="1" applyProtection="1"/>
    <xf numFmtId="173" fontId="10" fillId="0" borderId="81" xfId="0" applyNumberFormat="1" applyFont="1" applyFill="1" applyBorder="1" applyProtection="1"/>
    <xf numFmtId="173" fontId="10" fillId="0" borderId="51" xfId="0" applyNumberFormat="1" applyFont="1" applyFill="1" applyBorder="1" applyProtection="1"/>
    <xf numFmtId="173" fontId="10" fillId="0" borderId="10" xfId="0" applyNumberFormat="1" applyFont="1" applyFill="1" applyBorder="1" applyProtection="1"/>
    <xf numFmtId="173" fontId="10" fillId="0" borderId="26" xfId="0" applyNumberFormat="1" applyFont="1" applyFill="1" applyBorder="1" applyProtection="1"/>
    <xf numFmtId="173" fontId="10" fillId="0" borderId="37" xfId="0" applyNumberFormat="1" applyFont="1" applyFill="1" applyBorder="1" applyProtection="1"/>
    <xf numFmtId="173" fontId="10" fillId="0" borderId="67" xfId="0" applyNumberFormat="1" applyFont="1" applyFill="1" applyBorder="1" applyProtection="1"/>
    <xf numFmtId="173" fontId="10" fillId="0" borderId="45" xfId="0" applyNumberFormat="1" applyFont="1" applyFill="1" applyBorder="1" applyProtection="1"/>
    <xf numFmtId="173" fontId="9" fillId="0" borderId="45" xfId="0" applyNumberFormat="1" applyFont="1" applyFill="1" applyBorder="1" applyProtection="1"/>
    <xf numFmtId="173" fontId="9" fillId="0" borderId="45" xfId="28" applyNumberFormat="1" applyFont="1" applyFill="1" applyBorder="1" applyProtection="1"/>
    <xf numFmtId="173" fontId="9" fillId="0" borderId="22" xfId="28" applyNumberFormat="1" applyFont="1" applyFill="1" applyBorder="1" applyProtection="1"/>
    <xf numFmtId="173" fontId="9" fillId="0" borderId="46" xfId="28" applyNumberFormat="1" applyFont="1" applyFill="1" applyBorder="1" applyProtection="1"/>
    <xf numFmtId="9" fontId="9" fillId="0" borderId="46" xfId="42" applyFont="1" applyFill="1" applyBorder="1" applyAlignment="1" applyProtection="1">
      <alignment horizontal="center"/>
    </xf>
    <xf numFmtId="173" fontId="9" fillId="0" borderId="46" xfId="0" applyNumberFormat="1" applyFont="1" applyFill="1" applyBorder="1" applyAlignment="1" applyProtection="1">
      <alignment horizontal="center"/>
    </xf>
    <xf numFmtId="173" fontId="9" fillId="0" borderId="51" xfId="0" applyNumberFormat="1" applyFont="1" applyFill="1" applyBorder="1" applyAlignment="1" applyProtection="1">
      <alignment horizontal="center"/>
    </xf>
    <xf numFmtId="173" fontId="9" fillId="0" borderId="67" xfId="0" applyNumberFormat="1" applyFont="1" applyFill="1" applyBorder="1" applyProtection="1"/>
    <xf numFmtId="0" fontId="9" fillId="0" borderId="0" xfId="0" applyFont="1" applyFill="1" applyAlignment="1" applyProtection="1">
      <alignment horizontal="center"/>
    </xf>
    <xf numFmtId="166" fontId="9" fillId="0" borderId="0" xfId="28" applyNumberFormat="1" applyFont="1" applyFill="1" applyProtection="1"/>
    <xf numFmtId="0" fontId="0" fillId="28" borderId="0" xfId="0" applyFill="1" applyProtection="1">
      <protection locked="0"/>
    </xf>
    <xf numFmtId="0" fontId="16"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4" fillId="28" borderId="0" xfId="0" applyFont="1" applyFill="1" applyProtection="1">
      <protection locked="0"/>
    </xf>
    <xf numFmtId="0" fontId="37" fillId="0" borderId="14" xfId="0" applyFont="1" applyFill="1" applyBorder="1" applyAlignment="1" applyProtection="1">
      <alignment horizontal="left"/>
    </xf>
    <xf numFmtId="0" fontId="41" fillId="0" borderId="0" xfId="0" applyFont="1"/>
    <xf numFmtId="0" fontId="10" fillId="0" borderId="38" xfId="0" applyNumberFormat="1" applyFont="1" applyBorder="1" applyAlignment="1">
      <alignment horizontal="left"/>
    </xf>
    <xf numFmtId="0" fontId="42" fillId="0" borderId="0" xfId="0" applyFont="1" applyBorder="1" applyAlignment="1">
      <alignment horizontal="center"/>
    </xf>
    <xf numFmtId="166" fontId="13" fillId="0" borderId="0" xfId="28" applyNumberFormat="1" applyFont="1"/>
    <xf numFmtId="0" fontId="10" fillId="24" borderId="65" xfId="0" applyFont="1" applyFill="1" applyBorder="1" applyAlignment="1">
      <alignment horizontal="center" vertical="top" wrapText="1"/>
    </xf>
    <xf numFmtId="0" fontId="10" fillId="24" borderId="39" xfId="0" applyFont="1" applyFill="1" applyBorder="1" applyAlignment="1">
      <alignment horizontal="center" vertical="top" wrapText="1"/>
    </xf>
    <xf numFmtId="0" fontId="10" fillId="0" borderId="11" xfId="0" applyFont="1" applyFill="1" applyBorder="1" applyAlignment="1">
      <alignment horizontal="left" indent="1"/>
    </xf>
    <xf numFmtId="167" fontId="13" fillId="0" borderId="0" xfId="28" applyNumberFormat="1" applyFont="1"/>
    <xf numFmtId="0" fontId="13" fillId="0" borderId="0" xfId="0" applyFont="1" applyAlignment="1">
      <alignment horizontal="center"/>
    </xf>
    <xf numFmtId="0" fontId="40" fillId="0" borderId="26" xfId="0" applyFont="1" applyFill="1" applyBorder="1" applyAlignment="1">
      <alignment horizontal="left" vertical="top" wrapText="1" indent="3"/>
    </xf>
    <xf numFmtId="0" fontId="10" fillId="0" borderId="0" xfId="0" applyFont="1" applyFill="1" applyBorder="1" applyAlignment="1">
      <alignment horizontal="center"/>
    </xf>
    <xf numFmtId="0" fontId="9" fillId="0" borderId="0" xfId="0" applyFont="1" applyFill="1" applyAlignment="1">
      <alignment horizontal="right"/>
    </xf>
    <xf numFmtId="168" fontId="9" fillId="0" borderId="0" xfId="0" applyNumberFormat="1" applyFont="1" applyFill="1"/>
    <xf numFmtId="0" fontId="13" fillId="0" borderId="0" xfId="0" applyFont="1" applyFill="1" applyBorder="1" applyAlignment="1" applyProtection="1">
      <alignment horizontal="right"/>
    </xf>
    <xf numFmtId="169" fontId="10"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2" fillId="0" borderId="15" xfId="0" applyNumberFormat="1" applyFont="1" applyBorder="1"/>
    <xf numFmtId="0" fontId="13" fillId="0" borderId="0" xfId="0" applyNumberFormat="1" applyFont="1" applyBorder="1" applyProtection="1"/>
    <xf numFmtId="173" fontId="9" fillId="0" borderId="37" xfId="0" applyNumberFormat="1" applyFont="1" applyBorder="1" applyProtection="1"/>
    <xf numFmtId="173" fontId="9" fillId="0" borderId="26" xfId="0" applyNumberFormat="1" applyFont="1" applyBorder="1" applyProtection="1"/>
    <xf numFmtId="173" fontId="9" fillId="0" borderId="22" xfId="0" applyNumberFormat="1" applyFont="1" applyBorder="1" applyProtection="1"/>
    <xf numFmtId="173" fontId="9" fillId="0" borderId="0" xfId="0" applyNumberFormat="1" applyFont="1" applyBorder="1" applyProtection="1"/>
    <xf numFmtId="173" fontId="9" fillId="0" borderId="13" xfId="0" applyNumberFormat="1" applyFont="1" applyBorder="1" applyProtection="1"/>
    <xf numFmtId="173" fontId="9" fillId="0" borderId="23" xfId="0" applyNumberFormat="1" applyFont="1" applyBorder="1"/>
    <xf numFmtId="9" fontId="9" fillId="0" borderId="23" xfId="42" applyFont="1" applyBorder="1" applyAlignment="1">
      <alignment horizontal="center"/>
    </xf>
    <xf numFmtId="0" fontId="10" fillId="0" borderId="40" xfId="0" applyFont="1" applyBorder="1" applyAlignment="1">
      <alignment horizontal="left"/>
    </xf>
    <xf numFmtId="0" fontId="9" fillId="0" borderId="43" xfId="0" applyNumberFormat="1" applyFont="1" applyBorder="1" applyAlignment="1" applyProtection="1">
      <alignment horizontal="center"/>
      <protection locked="0"/>
    </xf>
    <xf numFmtId="9" fontId="10" fillId="0" borderId="22" xfId="42" applyFont="1" applyFill="1" applyBorder="1" applyAlignment="1">
      <alignment horizontal="center"/>
    </xf>
    <xf numFmtId="169" fontId="10" fillId="0" borderId="22" xfId="0" applyNumberFormat="1" applyFont="1" applyBorder="1" applyAlignment="1">
      <alignment horizontal="center"/>
    </xf>
    <xf numFmtId="169" fontId="9" fillId="0" borderId="22" xfId="42" applyNumberFormat="1" applyFont="1" applyBorder="1" applyAlignment="1">
      <alignment horizontal="center"/>
    </xf>
    <xf numFmtId="169" fontId="10" fillId="0" borderId="31" xfId="0" applyNumberFormat="1" applyFont="1" applyBorder="1"/>
    <xf numFmtId="169" fontId="9" fillId="0" borderId="22" xfId="0" applyNumberFormat="1" applyFont="1" applyBorder="1"/>
    <xf numFmtId="169" fontId="10" fillId="0" borderId="43" xfId="42" applyNumberFormat="1" applyFont="1" applyBorder="1" applyAlignment="1">
      <alignment horizontal="center"/>
    </xf>
    <xf numFmtId="169" fontId="10" fillId="0" borderId="29" xfId="42" applyNumberFormat="1" applyFont="1" applyBorder="1" applyAlignment="1">
      <alignment horizontal="center"/>
    </xf>
    <xf numFmtId="173" fontId="10" fillId="0" borderId="47" xfId="42" applyNumberFormat="1" applyFont="1" applyFill="1" applyBorder="1"/>
    <xf numFmtId="0" fontId="5" fillId="32" borderId="39" xfId="0" applyFont="1" applyFill="1" applyBorder="1" applyAlignment="1" applyProtection="1">
      <alignment horizontal="center"/>
      <protection locked="0"/>
    </xf>
    <xf numFmtId="17" fontId="5" fillId="32" borderId="12" xfId="0" quotePrefix="1" applyNumberFormat="1" applyFont="1" applyFill="1" applyBorder="1" applyProtection="1">
      <protection locked="0"/>
    </xf>
    <xf numFmtId="0" fontId="5" fillId="32" borderId="12" xfId="0" applyFont="1" applyFill="1" applyBorder="1" applyProtection="1">
      <protection locked="0"/>
    </xf>
    <xf numFmtId="0" fontId="5" fillId="32" borderId="65" xfId="0" applyFont="1" applyFill="1" applyBorder="1" applyProtection="1">
      <protection locked="0"/>
    </xf>
    <xf numFmtId="0" fontId="5" fillId="32" borderId="10" xfId="0" applyFont="1" applyFill="1" applyBorder="1" applyAlignment="1" applyProtection="1">
      <alignment horizontal="center"/>
      <protection locked="0"/>
    </xf>
    <xf numFmtId="0" fontId="5" fillId="32" borderId="0" xfId="0" applyFont="1" applyFill="1" applyBorder="1" applyProtection="1">
      <protection locked="0"/>
    </xf>
    <xf numFmtId="0" fontId="5" fillId="32" borderId="13" xfId="0" applyFont="1" applyFill="1" applyBorder="1" applyProtection="1">
      <protection locked="0"/>
    </xf>
    <xf numFmtId="0" fontId="5" fillId="32" borderId="13" xfId="0" applyFont="1" applyFill="1" applyBorder="1" applyAlignment="1" applyProtection="1">
      <alignment horizontal="center"/>
      <protection locked="0"/>
    </xf>
    <xf numFmtId="0" fontId="6" fillId="32" borderId="72" xfId="0" applyFont="1" applyFill="1" applyBorder="1" applyAlignment="1" applyProtection="1">
      <alignment horizontal="center"/>
      <protection locked="0"/>
    </xf>
    <xf numFmtId="0" fontId="5" fillId="32" borderId="0" xfId="0" applyFont="1" applyFill="1" applyAlignment="1" applyProtection="1">
      <alignment horizontal="center"/>
      <protection locked="0"/>
    </xf>
    <xf numFmtId="0" fontId="5" fillId="32" borderId="0" xfId="0" applyFont="1" applyFill="1" applyProtection="1">
      <protection locked="0"/>
    </xf>
    <xf numFmtId="0" fontId="5" fillId="32" borderId="0" xfId="0" applyFont="1" applyFill="1" applyAlignment="1" applyProtection="1">
      <alignment horizontal="left"/>
      <protection locked="0"/>
    </xf>
    <xf numFmtId="173" fontId="9" fillId="32" borderId="22" xfId="0" applyNumberFormat="1" applyFont="1" applyFill="1" applyBorder="1" applyProtection="1">
      <protection locked="0"/>
    </xf>
    <xf numFmtId="173" fontId="9" fillId="32" borderId="43" xfId="0" applyNumberFormat="1" applyFont="1" applyFill="1" applyBorder="1" applyProtection="1">
      <protection locked="0"/>
    </xf>
    <xf numFmtId="173" fontId="9" fillId="32" borderId="46" xfId="0" applyNumberFormat="1" applyFont="1" applyFill="1" applyBorder="1" applyProtection="1">
      <protection locked="0"/>
    </xf>
    <xf numFmtId="173" fontId="9" fillId="32" borderId="49" xfId="0" applyNumberFormat="1" applyFont="1" applyFill="1" applyBorder="1" applyProtection="1">
      <protection locked="0"/>
    </xf>
    <xf numFmtId="173" fontId="10" fillId="32" borderId="43" xfId="0" applyNumberFormat="1" applyFont="1" applyFill="1" applyBorder="1" applyProtection="1">
      <protection locked="0"/>
    </xf>
    <xf numFmtId="173" fontId="10" fillId="32" borderId="49" xfId="0" applyNumberFormat="1" applyFont="1" applyFill="1" applyBorder="1" applyProtection="1">
      <protection locked="0"/>
    </xf>
    <xf numFmtId="173" fontId="9" fillId="32" borderId="37" xfId="0" applyNumberFormat="1" applyFont="1" applyFill="1" applyBorder="1" applyAlignment="1" applyProtection="1">
      <alignment horizontal="right"/>
      <protection locked="0"/>
    </xf>
    <xf numFmtId="173" fontId="9" fillId="32" borderId="26" xfId="0" applyNumberFormat="1" applyFont="1" applyFill="1" applyBorder="1" applyAlignment="1" applyProtection="1">
      <alignment horizontal="right"/>
      <protection locked="0"/>
    </xf>
    <xf numFmtId="173" fontId="9" fillId="32" borderId="22" xfId="0" applyNumberFormat="1" applyFont="1" applyFill="1" applyBorder="1" applyAlignment="1" applyProtection="1">
      <alignment horizontal="right"/>
      <protection locked="0"/>
    </xf>
    <xf numFmtId="173" fontId="9" fillId="32" borderId="0" xfId="0" applyNumberFormat="1" applyFont="1" applyFill="1" applyBorder="1" applyAlignment="1" applyProtection="1">
      <alignment horizontal="right"/>
      <protection locked="0"/>
    </xf>
    <xf numFmtId="173" fontId="9" fillId="32" borderId="13" xfId="0" applyNumberFormat="1" applyFont="1" applyFill="1" applyBorder="1" applyAlignment="1" applyProtection="1">
      <alignment horizontal="right"/>
      <protection locked="0"/>
    </xf>
    <xf numFmtId="173" fontId="9" fillId="32" borderId="37" xfId="0" applyNumberFormat="1" applyFont="1" applyFill="1" applyBorder="1" applyProtection="1">
      <protection locked="0"/>
    </xf>
    <xf numFmtId="173" fontId="9" fillId="32" borderId="26" xfId="0" applyNumberFormat="1" applyFont="1" applyFill="1" applyBorder="1" applyProtection="1">
      <protection locked="0"/>
    </xf>
    <xf numFmtId="173" fontId="9" fillId="32" borderId="0" xfId="0" applyNumberFormat="1" applyFont="1" applyFill="1" applyBorder="1" applyProtection="1">
      <protection locked="0"/>
    </xf>
    <xf numFmtId="173" fontId="9" fillId="32" borderId="13" xfId="0" applyNumberFormat="1" applyFont="1" applyFill="1" applyBorder="1" applyProtection="1">
      <protection locked="0"/>
    </xf>
    <xf numFmtId="173" fontId="9" fillId="32" borderId="10" xfId="0" applyNumberFormat="1" applyFont="1" applyFill="1" applyBorder="1" applyProtection="1">
      <protection locked="0"/>
    </xf>
    <xf numFmtId="173" fontId="9" fillId="32" borderId="54" xfId="0" applyNumberFormat="1" applyFont="1" applyFill="1" applyBorder="1" applyProtection="1">
      <protection locked="0"/>
    </xf>
    <xf numFmtId="173" fontId="9" fillId="32" borderId="66" xfId="0" applyNumberFormat="1" applyFont="1" applyFill="1" applyBorder="1" applyProtection="1">
      <protection locked="0"/>
    </xf>
    <xf numFmtId="173" fontId="9" fillId="32" borderId="36" xfId="0" applyNumberFormat="1" applyFont="1" applyFill="1" applyBorder="1" applyProtection="1">
      <protection locked="0"/>
    </xf>
    <xf numFmtId="173" fontId="9" fillId="32" borderId="51" xfId="0" applyNumberFormat="1" applyFont="1" applyFill="1" applyBorder="1" applyProtection="1">
      <protection locked="0"/>
    </xf>
    <xf numFmtId="173" fontId="9" fillId="32" borderId="45" xfId="0" applyNumberFormat="1" applyFont="1" applyFill="1" applyBorder="1" applyProtection="1">
      <protection locked="0"/>
    </xf>
    <xf numFmtId="173" fontId="9" fillId="32" borderId="46" xfId="28" applyNumberFormat="1" applyFont="1" applyFill="1" applyBorder="1" applyProtection="1">
      <protection locked="0"/>
    </xf>
    <xf numFmtId="173" fontId="9" fillId="32" borderId="45" xfId="28" applyNumberFormat="1" applyFont="1" applyFill="1" applyBorder="1" applyProtection="1">
      <protection locked="0"/>
    </xf>
    <xf numFmtId="173" fontId="9" fillId="32" borderId="22" xfId="28" applyNumberFormat="1" applyFont="1" applyFill="1" applyBorder="1" applyProtection="1">
      <protection locked="0"/>
    </xf>
    <xf numFmtId="173" fontId="9" fillId="32" borderId="62" xfId="0" applyNumberFormat="1" applyFont="1" applyFill="1" applyBorder="1" applyProtection="1">
      <protection locked="0"/>
    </xf>
    <xf numFmtId="0" fontId="9" fillId="32" borderId="10" xfId="0" applyFont="1" applyFill="1" applyBorder="1" applyProtection="1">
      <protection locked="0"/>
    </xf>
    <xf numFmtId="0" fontId="9" fillId="32" borderId="19" xfId="0" applyFont="1" applyFill="1" applyBorder="1" applyProtection="1">
      <protection locked="0"/>
    </xf>
    <xf numFmtId="173" fontId="9" fillId="32" borderId="19" xfId="0" applyNumberFormat="1" applyFont="1" applyFill="1" applyBorder="1" applyProtection="1">
      <protection locked="0"/>
    </xf>
    <xf numFmtId="169" fontId="9" fillId="32" borderId="10" xfId="42" applyNumberFormat="1" applyFont="1" applyFill="1" applyBorder="1" applyAlignment="1" applyProtection="1">
      <alignment horizontal="center" vertical="top" wrapText="1"/>
      <protection locked="0"/>
    </xf>
    <xf numFmtId="169" fontId="9" fillId="32" borderId="45" xfId="42" applyNumberFormat="1" applyFont="1" applyFill="1" applyBorder="1" applyAlignment="1" applyProtection="1">
      <alignment horizontal="center" vertical="top" wrapText="1"/>
      <protection locked="0"/>
    </xf>
    <xf numFmtId="169" fontId="9" fillId="32" borderId="22" xfId="42" applyNumberFormat="1" applyFont="1" applyFill="1" applyBorder="1" applyAlignment="1" applyProtection="1">
      <alignment horizontal="center" vertical="top" wrapText="1"/>
      <protection locked="0"/>
    </xf>
    <xf numFmtId="169" fontId="9" fillId="32" borderId="46" xfId="42" applyNumberFormat="1" applyFont="1" applyFill="1" applyBorder="1" applyAlignment="1" applyProtection="1">
      <alignment horizontal="center" vertical="top" wrapText="1"/>
      <protection locked="0"/>
    </xf>
    <xf numFmtId="169" fontId="9" fillId="32" borderId="58" xfId="42" applyNumberFormat="1" applyFont="1" applyFill="1" applyBorder="1" applyAlignment="1" applyProtection="1">
      <alignment horizontal="center" vertical="top" wrapText="1"/>
      <protection locked="0"/>
    </xf>
    <xf numFmtId="169" fontId="9" fillId="32" borderId="24" xfId="42" applyNumberFormat="1" applyFont="1" applyFill="1" applyBorder="1" applyAlignment="1" applyProtection="1">
      <alignment horizontal="center" vertical="top" wrapText="1"/>
      <protection locked="0"/>
    </xf>
    <xf numFmtId="170" fontId="9" fillId="32" borderId="0" xfId="0" applyNumberFormat="1" applyFont="1" applyFill="1" applyBorder="1" applyProtection="1">
      <protection locked="0"/>
    </xf>
    <xf numFmtId="170" fontId="9" fillId="32" borderId="13" xfId="0" applyNumberFormat="1" applyFont="1" applyFill="1" applyBorder="1" applyProtection="1">
      <protection locked="0"/>
    </xf>
    <xf numFmtId="170" fontId="9" fillId="32" borderId="0" xfId="28" applyNumberFormat="1" applyFont="1" applyFill="1" applyBorder="1" applyProtection="1">
      <protection locked="0"/>
    </xf>
    <xf numFmtId="170" fontId="9" fillId="32" borderId="13" xfId="28" applyNumberFormat="1" applyFont="1" applyFill="1" applyBorder="1" applyProtection="1">
      <protection locked="0"/>
    </xf>
    <xf numFmtId="170" fontId="9" fillId="32" borderId="14" xfId="28" applyNumberFormat="1" applyFont="1" applyFill="1" applyBorder="1" applyProtection="1">
      <protection locked="0"/>
    </xf>
    <xf numFmtId="170" fontId="9" fillId="32" borderId="14" xfId="0" applyNumberFormat="1" applyFont="1" applyFill="1" applyBorder="1" applyProtection="1">
      <protection locked="0"/>
    </xf>
    <xf numFmtId="170" fontId="9" fillId="32" borderId="17" xfId="0" applyNumberFormat="1" applyFont="1" applyFill="1" applyBorder="1" applyProtection="1">
      <protection locked="0"/>
    </xf>
    <xf numFmtId="0" fontId="9" fillId="32" borderId="11" xfId="0" applyFont="1" applyFill="1" applyBorder="1" applyProtection="1">
      <protection locked="0"/>
    </xf>
    <xf numFmtId="0" fontId="9" fillId="32" borderId="11" xfId="0" applyNumberFormat="1" applyFont="1" applyFill="1" applyBorder="1" applyAlignment="1" applyProtection="1">
      <alignment horizontal="left" indent="1"/>
      <protection locked="0"/>
    </xf>
    <xf numFmtId="0" fontId="9" fillId="32" borderId="11" xfId="0" applyFont="1" applyFill="1" applyBorder="1" applyAlignment="1" applyProtection="1">
      <alignment horizontal="left" indent="2"/>
      <protection locked="0"/>
    </xf>
    <xf numFmtId="173" fontId="9" fillId="32" borderId="67" xfId="0" applyNumberFormat="1" applyFont="1" applyFill="1" applyBorder="1" applyProtection="1">
      <protection locked="0"/>
    </xf>
    <xf numFmtId="173" fontId="9" fillId="32" borderId="52" xfId="0" applyNumberFormat="1" applyFont="1" applyFill="1" applyBorder="1" applyProtection="1">
      <protection locked="0"/>
    </xf>
    <xf numFmtId="0" fontId="13" fillId="32" borderId="11" xfId="0" applyFont="1" applyFill="1" applyBorder="1" applyAlignment="1" applyProtection="1">
      <alignment horizontal="left" indent="2"/>
      <protection locked="0"/>
    </xf>
    <xf numFmtId="0" fontId="9" fillId="32" borderId="0" xfId="0" applyFont="1" applyFill="1" applyProtection="1">
      <protection locked="0"/>
    </xf>
    <xf numFmtId="173" fontId="10" fillId="32" borderId="67" xfId="0" applyNumberFormat="1" applyFont="1" applyFill="1" applyBorder="1" applyProtection="1">
      <protection locked="0"/>
    </xf>
    <xf numFmtId="173" fontId="10" fillId="32" borderId="52" xfId="0" applyNumberFormat="1" applyFont="1" applyFill="1" applyBorder="1" applyProtection="1">
      <protection locked="0"/>
    </xf>
    <xf numFmtId="0" fontId="13" fillId="32" borderId="0" xfId="0" applyFont="1" applyFill="1" applyBorder="1" applyAlignment="1" applyProtection="1">
      <alignment horizontal="left" indent="2"/>
      <protection locked="0"/>
    </xf>
    <xf numFmtId="173" fontId="10" fillId="32" borderId="10" xfId="0" applyNumberFormat="1" applyFont="1" applyFill="1" applyBorder="1" applyProtection="1">
      <protection locked="0"/>
    </xf>
    <xf numFmtId="173" fontId="10" fillId="32" borderId="26" xfId="0" applyNumberFormat="1" applyFont="1" applyFill="1" applyBorder="1" applyProtection="1">
      <protection locked="0"/>
    </xf>
    <xf numFmtId="173" fontId="10" fillId="32" borderId="22" xfId="0" applyNumberFormat="1" applyFont="1" applyFill="1" applyBorder="1" applyProtection="1">
      <protection locked="0"/>
    </xf>
    <xf numFmtId="173" fontId="10" fillId="32" borderId="46" xfId="0" applyNumberFormat="1" applyFont="1" applyFill="1" applyBorder="1" applyProtection="1">
      <protection locked="0"/>
    </xf>
    <xf numFmtId="0" fontId="10" fillId="32" borderId="62" xfId="0" applyFont="1" applyFill="1" applyBorder="1" applyAlignment="1" applyProtection="1">
      <alignment horizontal="center" vertical="center"/>
      <protection locked="0"/>
    </xf>
    <xf numFmtId="0" fontId="10" fillId="32" borderId="36" xfId="0" applyFont="1" applyFill="1" applyBorder="1" applyAlignment="1" applyProtection="1">
      <alignment horizontal="center" vertical="center"/>
      <protection locked="0"/>
    </xf>
    <xf numFmtId="0" fontId="10" fillId="32" borderId="81" xfId="0" applyFont="1" applyFill="1" applyBorder="1" applyAlignment="1" applyProtection="1">
      <alignment horizontal="center" vertical="center"/>
      <protection locked="0"/>
    </xf>
    <xf numFmtId="0" fontId="13" fillId="32" borderId="11" xfId="0" applyFont="1" applyFill="1" applyBorder="1" applyProtection="1">
      <protection locked="0"/>
    </xf>
    <xf numFmtId="12" fontId="9" fillId="32" borderId="82" xfId="0" applyNumberFormat="1" applyFont="1" applyFill="1" applyBorder="1" applyProtection="1">
      <protection locked="0"/>
    </xf>
    <xf numFmtId="12" fontId="9" fillId="32" borderId="83" xfId="0" applyNumberFormat="1" applyFont="1" applyFill="1" applyBorder="1" applyProtection="1">
      <protection locked="0"/>
    </xf>
    <xf numFmtId="12" fontId="9" fillId="32" borderId="84" xfId="0" applyNumberFormat="1" applyFont="1" applyFill="1" applyBorder="1" applyProtection="1">
      <protection locked="0"/>
    </xf>
    <xf numFmtId="173" fontId="9" fillId="0" borderId="72" xfId="0" applyNumberFormat="1" applyFont="1" applyBorder="1"/>
    <xf numFmtId="0" fontId="50" fillId="33" borderId="0" xfId="0" applyFont="1" applyFill="1" applyProtection="1"/>
    <xf numFmtId="0" fontId="40" fillId="33" borderId="0" xfId="0" applyFont="1" applyFill="1" applyProtection="1">
      <protection locked="0"/>
    </xf>
    <xf numFmtId="0" fontId="50" fillId="33" borderId="0" xfId="0" applyFont="1" applyFill="1" applyAlignment="1" applyProtection="1">
      <alignment horizontal="right"/>
    </xf>
    <xf numFmtId="0" fontId="50" fillId="33" borderId="11" xfId="0" applyFont="1" applyFill="1" applyBorder="1" applyAlignment="1" applyProtection="1">
      <alignment horizontal="left" indent="1"/>
      <protection locked="0"/>
    </xf>
    <xf numFmtId="0" fontId="40" fillId="32" borderId="0" xfId="0" applyFont="1" applyFill="1" applyAlignment="1" applyProtection="1">
      <alignment horizontal="left" indent="1"/>
      <protection locked="0"/>
    </xf>
    <xf numFmtId="49" fontId="50" fillId="33" borderId="0" xfId="0" applyNumberFormat="1" applyFont="1" applyFill="1" applyAlignment="1" applyProtection="1">
      <alignment horizontal="right"/>
    </xf>
    <xf numFmtId="0" fontId="43" fillId="32" borderId="72" xfId="0" applyFont="1" applyFill="1" applyBorder="1" applyProtection="1">
      <protection locked="0"/>
    </xf>
    <xf numFmtId="49" fontId="51" fillId="33" borderId="0" xfId="0" applyNumberFormat="1" applyFont="1" applyFill="1" applyAlignment="1" applyProtection="1">
      <alignment horizontal="right"/>
    </xf>
    <xf numFmtId="0" fontId="51" fillId="33" borderId="0" xfId="0" applyFont="1" applyFill="1" applyAlignment="1" applyProtection="1">
      <alignment horizontal="right"/>
    </xf>
    <xf numFmtId="0" fontId="50" fillId="33" borderId="0" xfId="0" applyFont="1" applyFill="1" applyProtection="1">
      <protection locked="0"/>
    </xf>
    <xf numFmtId="0" fontId="52" fillId="33" borderId="0" xfId="0" applyFont="1" applyFill="1" applyProtection="1"/>
    <xf numFmtId="0" fontId="44" fillId="33" borderId="0" xfId="0" applyFont="1" applyFill="1" applyProtection="1"/>
    <xf numFmtId="0" fontId="53" fillId="33" borderId="0" xfId="0" applyFont="1" applyFill="1" applyAlignment="1" applyProtection="1">
      <alignment horizontal="right"/>
    </xf>
    <xf numFmtId="0" fontId="9" fillId="0" borderId="26" xfId="0" applyFont="1" applyFill="1" applyBorder="1" applyAlignment="1" applyProtection="1">
      <alignment horizontal="left" indent="1"/>
    </xf>
    <xf numFmtId="0" fontId="10" fillId="0" borderId="26" xfId="0" applyFont="1" applyFill="1" applyBorder="1" applyAlignment="1" applyProtection="1">
      <alignment horizontal="left" indent="1"/>
    </xf>
    <xf numFmtId="0" fontId="19" fillId="0" borderId="17" xfId="0" applyFont="1" applyBorder="1" applyProtection="1">
      <protection hidden="1"/>
    </xf>
    <xf numFmtId="0" fontId="19" fillId="0" borderId="0" xfId="0" applyFont="1" applyProtection="1">
      <protection hidden="1"/>
    </xf>
    <xf numFmtId="0" fontId="19" fillId="0" borderId="0" xfId="0" applyFont="1" applyProtection="1"/>
    <xf numFmtId="0" fontId="19" fillId="0" borderId="0" xfId="0" applyFont="1" applyBorder="1" applyProtection="1">
      <protection hidden="1"/>
    </xf>
    <xf numFmtId="0" fontId="19" fillId="0" borderId="13" xfId="0" applyFont="1" applyBorder="1" applyProtection="1">
      <protection hidden="1"/>
    </xf>
    <xf numFmtId="0" fontId="45" fillId="0" borderId="0" xfId="0" applyFont="1" applyBorder="1" applyProtection="1">
      <protection hidden="1"/>
    </xf>
    <xf numFmtId="0" fontId="46" fillId="0" borderId="13" xfId="0" applyFont="1" applyBorder="1" applyProtection="1">
      <protection hidden="1"/>
    </xf>
    <xf numFmtId="0" fontId="8" fillId="0" borderId="85" xfId="0" applyFont="1" applyBorder="1" applyAlignment="1" applyProtection="1">
      <alignment horizontal="left" vertical="top" wrapText="1"/>
    </xf>
    <xf numFmtId="0" fontId="8" fillId="32" borderId="86" xfId="0" applyFont="1" applyFill="1" applyBorder="1" applyAlignment="1" applyProtection="1">
      <alignment horizontal="justify" vertical="center" wrapText="1"/>
      <protection locked="0"/>
    </xf>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0" xfId="0" quotePrefix="1" applyNumberFormat="1" applyFont="1" applyProtection="1"/>
    <xf numFmtId="0" fontId="19" fillId="0" borderId="0" xfId="0" applyFont="1" applyAlignment="1">
      <alignment wrapText="1"/>
    </xf>
    <xf numFmtId="0" fontId="19" fillId="0" borderId="0" xfId="0" applyNumberFormat="1" applyFont="1" applyProtection="1"/>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justify" vertical="center" wrapText="1"/>
      <protection locked="0"/>
    </xf>
    <xf numFmtId="0" fontId="19" fillId="0" borderId="0" xfId="0" applyFont="1" applyAlignment="1" applyProtection="1">
      <alignment vertical="center"/>
    </xf>
    <xf numFmtId="0" fontId="8" fillId="0" borderId="15" xfId="0" applyFont="1" applyBorder="1" applyAlignment="1">
      <alignment vertical="center"/>
    </xf>
    <xf numFmtId="0" fontId="19" fillId="32" borderId="65" xfId="0" applyFont="1" applyFill="1" applyBorder="1" applyAlignment="1" applyProtection="1">
      <alignment vertical="center"/>
      <protection locked="0"/>
    </xf>
    <xf numFmtId="0" fontId="13" fillId="0" borderId="0" xfId="36" applyFont="1" applyAlignment="1" applyProtection="1"/>
    <xf numFmtId="0" fontId="19" fillId="0" borderId="0" xfId="0" applyFont="1" applyBorder="1" applyAlignment="1">
      <alignment vertical="center"/>
    </xf>
    <xf numFmtId="0" fontId="19" fillId="0" borderId="0" xfId="0" applyFont="1" applyAlignment="1" applyProtection="1">
      <alignment vertical="center"/>
      <protection hidden="1"/>
    </xf>
    <xf numFmtId="0" fontId="19" fillId="0" borderId="0" xfId="0" applyFont="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8" fillId="0" borderId="11" xfId="0" applyFont="1" applyFill="1" applyBorder="1" applyAlignment="1" applyProtection="1">
      <alignment horizontal="justify" vertical="center" wrapText="1"/>
    </xf>
    <xf numFmtId="0" fontId="8" fillId="0" borderId="13" xfId="0" applyFont="1" applyFill="1" applyBorder="1" applyAlignment="1" applyProtection="1">
      <alignment horizontal="justify" vertical="center" wrapText="1"/>
    </xf>
    <xf numFmtId="0" fontId="8" fillId="0" borderId="0" xfId="0" applyFont="1" applyBorder="1" applyAlignment="1" applyProtection="1">
      <alignment horizontal="justify" vertical="top" wrapText="1"/>
    </xf>
    <xf numFmtId="0" fontId="8" fillId="0" borderId="16" xfId="0" applyFont="1" applyFill="1" applyBorder="1" applyAlignment="1" applyProtection="1">
      <alignment horizontal="justify" vertical="center" wrapText="1"/>
    </xf>
    <xf numFmtId="0" fontId="8" fillId="0" borderId="17" xfId="0" applyFont="1" applyFill="1" applyBorder="1" applyAlignment="1" applyProtection="1">
      <alignment horizontal="justify" vertical="center" wrapText="1"/>
    </xf>
    <xf numFmtId="0" fontId="8" fillId="0" borderId="11" xfId="0" applyFont="1" applyFill="1" applyBorder="1" applyAlignment="1" applyProtection="1">
      <alignment horizontal="left" vertical="top" wrapText="1"/>
    </xf>
    <xf numFmtId="0" fontId="8" fillId="32" borderId="13" xfId="0" applyFont="1" applyFill="1" applyBorder="1" applyAlignment="1" applyProtection="1">
      <alignment horizontal="justify" vertical="top" wrapText="1"/>
      <protection locked="0"/>
    </xf>
    <xf numFmtId="0" fontId="19" fillId="0" borderId="0" xfId="36" applyFont="1" applyBorder="1" applyAlignment="1" applyProtection="1"/>
    <xf numFmtId="0" fontId="8" fillId="0" borderId="0" xfId="0" applyFont="1" applyFill="1" applyBorder="1" applyAlignment="1" applyProtection="1">
      <alignment horizontal="left" vertical="top" wrapText="1"/>
      <protection locked="0"/>
    </xf>
    <xf numFmtId="0" fontId="8" fillId="0" borderId="16" xfId="0" applyFont="1" applyFill="1" applyBorder="1" applyAlignment="1" applyProtection="1">
      <alignment horizontal="justify" vertical="top" wrapText="1"/>
    </xf>
    <xf numFmtId="0" fontId="8" fillId="0" borderId="17" xfId="0" applyFont="1" applyBorder="1" applyAlignment="1" applyProtection="1">
      <alignment horizontal="justify" vertical="top" wrapText="1"/>
    </xf>
    <xf numFmtId="0" fontId="8" fillId="32" borderId="13" xfId="0" applyFont="1" applyFill="1" applyBorder="1" applyAlignment="1" applyProtection="1">
      <alignment horizontal="left" vertical="top" wrapText="1"/>
      <protection locked="0"/>
    </xf>
    <xf numFmtId="0" fontId="8" fillId="0" borderId="0" xfId="0" applyFont="1" applyFill="1" applyBorder="1" applyAlignment="1" applyProtection="1">
      <alignment horizontal="justify" vertical="top" wrapText="1"/>
    </xf>
    <xf numFmtId="0" fontId="19" fillId="0" borderId="16" xfId="0" applyFont="1" applyBorder="1" applyAlignment="1" applyProtection="1">
      <alignment horizontal="justify" vertical="top" wrapText="1"/>
    </xf>
    <xf numFmtId="0" fontId="19" fillId="0" borderId="17" xfId="0" applyFont="1" applyBorder="1" applyAlignment="1" applyProtection="1">
      <alignment horizontal="justify" vertical="top" wrapText="1"/>
    </xf>
    <xf numFmtId="0" fontId="8" fillId="0" borderId="0" xfId="0" applyFont="1" applyAlignment="1" applyProtection="1">
      <alignment vertical="center"/>
    </xf>
    <xf numFmtId="0" fontId="8" fillId="0" borderId="0" xfId="0" applyFont="1" applyProtection="1"/>
    <xf numFmtId="0" fontId="8" fillId="0" borderId="85" xfId="0" applyFont="1" applyBorder="1" applyAlignment="1" applyProtection="1">
      <alignment horizontal="justify" wrapText="1"/>
    </xf>
    <xf numFmtId="0" fontId="19" fillId="0" borderId="86" xfId="0" applyFont="1" applyBorder="1" applyAlignment="1" applyProtection="1">
      <alignment horizontal="justify" wrapText="1"/>
    </xf>
    <xf numFmtId="0" fontId="19" fillId="0" borderId="68" xfId="0" applyFont="1" applyBorder="1" applyAlignment="1" applyProtection="1">
      <alignment horizontal="justify" wrapText="1"/>
    </xf>
    <xf numFmtId="0" fontId="19" fillId="32" borderId="18" xfId="0" applyFont="1" applyFill="1" applyBorder="1" applyAlignment="1" applyProtection="1">
      <alignment horizontal="justify" wrapText="1"/>
      <protection locked="0"/>
    </xf>
    <xf numFmtId="0" fontId="19" fillId="0" borderId="15" xfId="0" applyFont="1" applyBorder="1" applyAlignment="1" applyProtection="1">
      <alignment horizontal="justify" wrapText="1"/>
    </xf>
    <xf numFmtId="176" fontId="19" fillId="32" borderId="65" xfId="0" applyNumberFormat="1" applyFont="1" applyFill="1" applyBorder="1" applyAlignment="1" applyProtection="1">
      <alignment horizontal="justify" wrapText="1"/>
      <protection locked="0"/>
    </xf>
    <xf numFmtId="0" fontId="19" fillId="0" borderId="16" xfId="0" applyFont="1" applyFill="1" applyBorder="1" applyAlignment="1" applyProtection="1">
      <alignment horizontal="justify" wrapText="1"/>
    </xf>
    <xf numFmtId="176" fontId="19" fillId="0" borderId="17" xfId="0" applyNumberFormat="1" applyFont="1" applyFill="1" applyBorder="1" applyAlignment="1" applyProtection="1">
      <alignment horizontal="justify" wrapText="1"/>
      <protection locked="0"/>
    </xf>
    <xf numFmtId="0" fontId="8" fillId="0" borderId="68" xfId="0" applyFont="1" applyBorder="1" applyAlignment="1" applyProtection="1">
      <alignment horizontal="justify" wrapText="1"/>
    </xf>
    <xf numFmtId="0" fontId="19" fillId="0" borderId="18" xfId="0" applyFont="1" applyBorder="1" applyAlignment="1" applyProtection="1">
      <alignment horizontal="justify" wrapText="1"/>
    </xf>
    <xf numFmtId="0" fontId="19" fillId="0" borderId="0" xfId="0" applyFont="1" applyFill="1" applyProtection="1">
      <protection hidden="1"/>
    </xf>
    <xf numFmtId="0" fontId="19" fillId="0" borderId="18" xfId="0" applyFont="1" applyFill="1" applyBorder="1" applyAlignment="1" applyProtection="1">
      <alignment horizontal="justify" wrapText="1"/>
    </xf>
    <xf numFmtId="0" fontId="19" fillId="32" borderId="65" xfId="0" applyFont="1" applyFill="1" applyBorder="1" applyAlignment="1" applyProtection="1">
      <alignment horizontal="justify" wrapText="1"/>
      <protection locked="0"/>
    </xf>
    <xf numFmtId="0" fontId="19" fillId="0" borderId="17" xfId="0" applyFont="1" applyFill="1" applyBorder="1" applyAlignment="1" applyProtection="1">
      <alignment horizontal="justify" wrapText="1"/>
      <protection locked="0"/>
    </xf>
    <xf numFmtId="0" fontId="19" fillId="32" borderId="18" xfId="0" applyNumberFormat="1" applyFont="1" applyFill="1" applyBorder="1" applyAlignment="1" applyProtection="1">
      <alignment horizontal="justify" wrapText="1"/>
      <protection locked="0"/>
    </xf>
    <xf numFmtId="0" fontId="19" fillId="0" borderId="11" xfId="0" applyFont="1" applyBorder="1" applyAlignment="1" applyProtection="1">
      <alignment horizontal="justify" wrapText="1"/>
    </xf>
    <xf numFmtId="0" fontId="19" fillId="32" borderId="13" xfId="0" applyFont="1" applyFill="1" applyBorder="1" applyAlignment="1" applyProtection="1">
      <alignment horizontal="justify" wrapText="1"/>
      <protection locked="0"/>
    </xf>
    <xf numFmtId="0" fontId="8" fillId="0" borderId="0" xfId="0" applyFont="1" applyBorder="1" applyProtection="1"/>
    <xf numFmtId="0" fontId="8" fillId="0" borderId="0" xfId="0" quotePrefix="1" applyNumberFormat="1" applyFont="1" applyBorder="1" applyProtection="1"/>
    <xf numFmtId="0" fontId="19" fillId="0" borderId="0" xfId="0" applyFont="1" applyBorder="1" applyProtection="1"/>
    <xf numFmtId="0" fontId="8" fillId="0" borderId="68" xfId="0" applyFont="1" applyBorder="1" applyAlignment="1" applyProtection="1">
      <alignment horizontal="left"/>
    </xf>
    <xf numFmtId="0" fontId="19" fillId="0" borderId="0" xfId="0" applyFont="1" applyBorder="1"/>
    <xf numFmtId="0" fontId="13" fillId="0" borderId="0" xfId="0" applyFont="1" applyProtection="1"/>
    <xf numFmtId="0" fontId="13" fillId="0" borderId="0" xfId="0" applyFont="1" applyProtection="1">
      <protection hidden="1"/>
    </xf>
    <xf numFmtId="0" fontId="19" fillId="0" borderId="0" xfId="36" applyFont="1" applyAlignment="1" applyProtection="1">
      <protection hidden="1"/>
    </xf>
    <xf numFmtId="0" fontId="47" fillId="0" borderId="0" xfId="36" applyFont="1" applyAlignment="1" applyProtection="1">
      <protection hidden="1"/>
    </xf>
    <xf numFmtId="0" fontId="19" fillId="0" borderId="0" xfId="0" applyFont="1" applyProtection="1">
      <protection locked="0" hidden="1"/>
    </xf>
    <xf numFmtId="0" fontId="19" fillId="0" borderId="0" xfId="0" applyFont="1" applyProtection="1">
      <protection locked="0"/>
    </xf>
    <xf numFmtId="0" fontId="47" fillId="0" borderId="0" xfId="36" applyFont="1" applyAlignment="1" applyProtection="1">
      <protection locked="0" hidden="1"/>
    </xf>
    <xf numFmtId="0" fontId="19" fillId="0" borderId="0" xfId="0" applyFont="1" applyFill="1" applyProtection="1"/>
    <xf numFmtId="0" fontId="9" fillId="0" borderId="11" xfId="0" applyFont="1" applyBorder="1" applyProtection="1"/>
    <xf numFmtId="0" fontId="10" fillId="0" borderId="27" xfId="0" applyFont="1" applyBorder="1" applyProtection="1"/>
    <xf numFmtId="0" fontId="13" fillId="0" borderId="0" xfId="0" applyNumberFormat="1" applyFont="1" applyFill="1" applyBorder="1" applyProtection="1"/>
    <xf numFmtId="9" fontId="10" fillId="0" borderId="29" xfId="0" applyNumberFormat="1" applyFont="1" applyBorder="1"/>
    <xf numFmtId="0" fontId="39" fillId="0" borderId="0" xfId="0" applyFont="1"/>
    <xf numFmtId="0" fontId="39" fillId="0" borderId="0" xfId="0" applyFont="1" applyProtection="1"/>
    <xf numFmtId="0" fontId="0" fillId="0" borderId="0" xfId="0" applyFont="1" applyProtection="1"/>
    <xf numFmtId="0" fontId="5" fillId="0" borderId="0" xfId="0" applyFont="1" applyAlignment="1">
      <alignment horizontal="left"/>
    </xf>
    <xf numFmtId="0" fontId="10" fillId="0" borderId="19" xfId="0" applyFont="1" applyFill="1" applyBorder="1" applyAlignment="1">
      <alignment horizontal="center" vertical="center" wrapText="1"/>
    </xf>
    <xf numFmtId="0" fontId="10" fillId="0" borderId="39" xfId="0" applyFont="1" applyFill="1" applyBorder="1" applyAlignment="1">
      <alignment vertical="center" wrapText="1"/>
    </xf>
    <xf numFmtId="12" fontId="9" fillId="32" borderId="18" xfId="0" applyNumberFormat="1" applyFont="1" applyFill="1" applyBorder="1" applyProtection="1">
      <protection locked="0"/>
    </xf>
    <xf numFmtId="173" fontId="9" fillId="0" borderId="39" xfId="0" applyNumberFormat="1" applyFont="1" applyBorder="1"/>
    <xf numFmtId="0" fontId="10" fillId="0" borderId="30"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38" xfId="0" applyFont="1" applyFill="1" applyBorder="1" applyAlignment="1">
      <alignment vertical="center" wrapText="1"/>
    </xf>
    <xf numFmtId="0" fontId="10"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9" fillId="0" borderId="36" xfId="0" applyNumberFormat="1" applyFont="1" applyBorder="1"/>
    <xf numFmtId="9" fontId="10" fillId="0" borderId="49" xfId="42" applyFont="1" applyFill="1" applyBorder="1" applyAlignment="1">
      <alignment horizontal="center" vertical="center" wrapText="1"/>
    </xf>
    <xf numFmtId="9" fontId="10" fillId="0" borderId="51" xfId="42" applyFont="1" applyFill="1" applyBorder="1" applyAlignment="1">
      <alignment horizontal="center" vertical="center"/>
    </xf>
    <xf numFmtId="169" fontId="10" fillId="0" borderId="46" xfId="42" applyNumberFormat="1" applyFont="1" applyFill="1" applyBorder="1" applyAlignment="1">
      <alignment horizontal="center" wrapText="1"/>
    </xf>
    <xf numFmtId="169" fontId="9" fillId="0" borderId="49" xfId="42" applyNumberFormat="1" applyFont="1" applyFill="1" applyBorder="1" applyAlignment="1">
      <alignment horizontal="center" vertical="top" wrapText="1"/>
    </xf>
    <xf numFmtId="169" fontId="10" fillId="0" borderId="49" xfId="42" applyNumberFormat="1" applyFont="1" applyFill="1" applyBorder="1" applyAlignment="1">
      <alignment horizontal="center" vertical="top" wrapText="1"/>
    </xf>
    <xf numFmtId="169" fontId="10" fillId="0" borderId="47" xfId="42" applyNumberFormat="1" applyFont="1" applyFill="1" applyBorder="1" applyAlignment="1">
      <alignment horizontal="center" vertical="top" wrapText="1"/>
    </xf>
    <xf numFmtId="169" fontId="10" fillId="0" borderId="56" xfId="42" applyNumberFormat="1" applyFont="1" applyFill="1" applyBorder="1" applyAlignment="1">
      <alignment horizontal="center" vertical="top" wrapText="1"/>
    </xf>
    <xf numFmtId="0" fontId="10" fillId="0" borderId="0" xfId="0" applyFont="1" applyFill="1" applyBorder="1" applyAlignment="1">
      <alignment wrapText="1"/>
    </xf>
    <xf numFmtId="173" fontId="9" fillId="0" borderId="11" xfId="0" applyNumberFormat="1" applyFont="1" applyBorder="1"/>
    <xf numFmtId="173" fontId="10" fillId="0" borderId="11" xfId="0" applyNumberFormat="1" applyFont="1" applyBorder="1"/>
    <xf numFmtId="173" fontId="10" fillId="0" borderId="28" xfId="0" applyNumberFormat="1" applyFont="1" applyFill="1" applyBorder="1"/>
    <xf numFmtId="0" fontId="0" fillId="0" borderId="0" xfId="0" applyFill="1"/>
    <xf numFmtId="49" fontId="19" fillId="0" borderId="68" xfId="0" applyNumberFormat="1" applyFont="1" applyBorder="1" applyAlignment="1" applyProtection="1">
      <alignment horizontal="justify" wrapText="1"/>
    </xf>
    <xf numFmtId="49" fontId="19" fillId="32" borderId="18" xfId="0" applyNumberFormat="1" applyFont="1" applyFill="1" applyBorder="1" applyAlignment="1" applyProtection="1">
      <alignment horizontal="justify" wrapText="1"/>
      <protection locked="0"/>
    </xf>
    <xf numFmtId="0" fontId="4" fillId="0" borderId="0" xfId="0" applyFont="1" applyProtection="1">
      <protection hidden="1"/>
    </xf>
    <xf numFmtId="0" fontId="4" fillId="0" borderId="0" xfId="0" applyFont="1" applyProtection="1"/>
    <xf numFmtId="0" fontId="48" fillId="0" borderId="0" xfId="0" applyFont="1" applyAlignment="1">
      <alignment wrapText="1"/>
    </xf>
    <xf numFmtId="0" fontId="4" fillId="0" borderId="0" xfId="0" applyFont="1"/>
    <xf numFmtId="0" fontId="38" fillId="0" borderId="0" xfId="0" applyFont="1" applyProtection="1"/>
    <xf numFmtId="0" fontId="38" fillId="0" borderId="0" xfId="0" quotePrefix="1" applyNumberFormat="1" applyFont="1" applyProtection="1"/>
    <xf numFmtId="0" fontId="4" fillId="0" borderId="0" xfId="0" applyFont="1" applyBorder="1" applyProtection="1">
      <protection hidden="1"/>
    </xf>
    <xf numFmtId="0" fontId="38" fillId="0" borderId="0" xfId="0" applyFont="1" applyBorder="1" applyProtection="1"/>
    <xf numFmtId="0" fontId="38" fillId="0" borderId="0" xfId="0" quotePrefix="1" applyNumberFormat="1" applyFont="1" applyBorder="1" applyProtection="1"/>
    <xf numFmtId="0" fontId="4" fillId="0" borderId="0" xfId="0" applyFont="1" applyBorder="1" applyProtection="1"/>
    <xf numFmtId="0" fontId="0" fillId="0" borderId="0" xfId="0" applyBorder="1" applyProtection="1"/>
    <xf numFmtId="0" fontId="4" fillId="0" borderId="0" xfId="0" applyFont="1" applyBorder="1"/>
    <xf numFmtId="0" fontId="40" fillId="0" borderId="0" xfId="0" applyFont="1" applyProtection="1">
      <protection hidden="1"/>
    </xf>
    <xf numFmtId="0" fontId="40" fillId="0" borderId="0" xfId="0" applyFont="1" applyProtection="1"/>
    <xf numFmtId="0" fontId="0" fillId="0" borderId="0" xfId="0" applyProtection="1">
      <protection hidden="1"/>
    </xf>
    <xf numFmtId="0" fontId="4" fillId="0" borderId="0" xfId="0" applyFont="1" applyProtection="1">
      <protection locked="0" hidden="1"/>
    </xf>
    <xf numFmtId="0" fontId="4" fillId="0" borderId="0" xfId="0" applyFont="1" applyProtection="1">
      <protection locked="0"/>
    </xf>
    <xf numFmtId="49" fontId="19" fillId="0" borderId="0" xfId="0" applyNumberFormat="1" applyFont="1" applyFill="1" applyBorder="1" applyAlignment="1" applyProtection="1">
      <alignment horizontal="justify" wrapText="1"/>
    </xf>
    <xf numFmtId="49" fontId="19" fillId="0" borderId="0" xfId="0" applyNumberFormat="1" applyFont="1" applyFill="1" applyBorder="1" applyAlignment="1" applyProtection="1">
      <alignment horizontal="justify" wrapText="1"/>
      <protection locked="0"/>
    </xf>
    <xf numFmtId="0" fontId="9" fillId="0" borderId="11" xfId="0" applyNumberFormat="1" applyFont="1" applyBorder="1" applyAlignment="1">
      <alignment horizontal="left" wrapText="1" indent="1"/>
    </xf>
    <xf numFmtId="0" fontId="9" fillId="0" borderId="11" xfId="0" applyNumberFormat="1" applyFont="1" applyFill="1" applyBorder="1"/>
    <xf numFmtId="0" fontId="12" fillId="0" borderId="11" xfId="0" applyNumberFormat="1" applyFont="1" applyFill="1" applyBorder="1"/>
    <xf numFmtId="173" fontId="10" fillId="0" borderId="54" xfId="0" applyNumberFormat="1" applyFont="1" applyFill="1" applyBorder="1"/>
    <xf numFmtId="173" fontId="10" fillId="0" borderId="62" xfId="0" applyNumberFormat="1" applyFont="1" applyFill="1" applyBorder="1"/>
    <xf numFmtId="173" fontId="10" fillId="0" borderId="36" xfId="0" applyNumberFormat="1" applyFont="1" applyFill="1" applyBorder="1"/>
    <xf numFmtId="173" fontId="10" fillId="0" borderId="51" xfId="0" applyNumberFormat="1" applyFont="1" applyFill="1" applyBorder="1"/>
    <xf numFmtId="0" fontId="4" fillId="0" borderId="0" xfId="0" applyNumberFormat="1" applyFont="1" applyProtection="1"/>
    <xf numFmtId="0" fontId="4" fillId="0" borderId="0" xfId="0" applyFont="1" applyAlignment="1" applyProtection="1">
      <alignment vertical="center"/>
    </xf>
    <xf numFmtId="0" fontId="4" fillId="0" borderId="0" xfId="0" applyFont="1" applyFill="1"/>
    <xf numFmtId="9" fontId="9" fillId="0" borderId="22" xfId="42" applyFont="1" applyFill="1" applyBorder="1" applyAlignment="1" applyProtection="1">
      <alignment horizontal="center"/>
    </xf>
    <xf numFmtId="0" fontId="10" fillId="0" borderId="79"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9" fillId="32" borderId="22" xfId="0" applyNumberFormat="1" applyFont="1" applyFill="1" applyBorder="1" applyAlignment="1" applyProtection="1">
      <alignment horizontal="center"/>
      <protection locked="0"/>
    </xf>
    <xf numFmtId="0" fontId="9" fillId="32" borderId="37" xfId="0" applyNumberFormat="1" applyFont="1" applyFill="1" applyBorder="1" applyAlignment="1" applyProtection="1">
      <alignment horizontal="center"/>
      <protection locked="0"/>
    </xf>
    <xf numFmtId="177" fontId="9" fillId="32" borderId="46" xfId="0" applyNumberFormat="1" applyFont="1" applyFill="1" applyBorder="1" applyAlignment="1" applyProtection="1">
      <alignment horizontal="center"/>
      <protection locked="0"/>
    </xf>
    <xf numFmtId="173" fontId="9" fillId="32" borderId="26" xfId="0" applyNumberFormat="1" applyFont="1" applyFill="1" applyBorder="1" applyAlignment="1" applyProtection="1">
      <protection locked="0"/>
    </xf>
    <xf numFmtId="173" fontId="9" fillId="32" borderId="45" xfId="0" applyNumberFormat="1" applyFont="1" applyFill="1" applyBorder="1" applyAlignment="1" applyProtection="1">
      <protection locked="0"/>
    </xf>
    <xf numFmtId="173" fontId="9" fillId="32" borderId="22" xfId="0" applyNumberFormat="1" applyFont="1" applyFill="1" applyBorder="1" applyAlignment="1" applyProtection="1">
      <protection locked="0"/>
    </xf>
    <xf numFmtId="173" fontId="10" fillId="0" borderId="46" xfId="0" applyNumberFormat="1" applyFont="1" applyBorder="1" applyAlignment="1" applyProtection="1"/>
    <xf numFmtId="0" fontId="9" fillId="0" borderId="78" xfId="0" applyNumberFormat="1" applyFont="1" applyBorder="1" applyAlignment="1">
      <alignment horizontal="center"/>
    </xf>
    <xf numFmtId="177" fontId="9" fillId="0" borderId="49" xfId="0" applyNumberFormat="1" applyFont="1" applyBorder="1" applyAlignment="1">
      <alignment horizontal="center"/>
    </xf>
    <xf numFmtId="173" fontId="10" fillId="0" borderId="52" xfId="0" applyNumberFormat="1" applyFont="1" applyBorder="1" applyAlignment="1"/>
    <xf numFmtId="173" fontId="10" fillId="0" borderId="60" xfId="0" applyNumberFormat="1" applyFont="1" applyBorder="1" applyAlignment="1"/>
    <xf numFmtId="173" fontId="10" fillId="0" borderId="43" xfId="0" applyNumberFormat="1" applyFont="1" applyBorder="1" applyAlignment="1"/>
    <xf numFmtId="173" fontId="10" fillId="0" borderId="49" xfId="0" applyNumberFormat="1" applyFont="1" applyBorder="1" applyAlignment="1"/>
    <xf numFmtId="0" fontId="9" fillId="0" borderId="37" xfId="0" applyNumberFormat="1" applyFont="1" applyBorder="1" applyAlignment="1">
      <alignment horizontal="center"/>
    </xf>
    <xf numFmtId="177" fontId="9" fillId="0" borderId="46" xfId="0" applyNumberFormat="1" applyFont="1" applyBorder="1" applyAlignment="1">
      <alignment horizontal="center"/>
    </xf>
    <xf numFmtId="173" fontId="9" fillId="0" borderId="26" xfId="0" applyNumberFormat="1" applyFont="1" applyBorder="1" applyAlignment="1"/>
    <xf numFmtId="173" fontId="9" fillId="0" borderId="45" xfId="0" applyNumberFormat="1" applyFont="1" applyBorder="1" applyAlignment="1"/>
    <xf numFmtId="173" fontId="9" fillId="0" borderId="22" xfId="0" applyNumberFormat="1" applyFont="1" applyBorder="1" applyAlignment="1"/>
    <xf numFmtId="173" fontId="9" fillId="0" borderId="46" xfId="0" applyNumberFormat="1" applyFont="1" applyBorder="1" applyAlignment="1"/>
    <xf numFmtId="0" fontId="9" fillId="0" borderId="52" xfId="0" applyNumberFormat="1" applyFont="1" applyBorder="1" applyAlignment="1">
      <alignment horizontal="center"/>
    </xf>
    <xf numFmtId="173" fontId="10" fillId="0" borderId="26" xfId="0" applyNumberFormat="1" applyFont="1" applyBorder="1" applyAlignment="1"/>
    <xf numFmtId="173" fontId="10" fillId="0" borderId="45" xfId="0" applyNumberFormat="1" applyFont="1" applyBorder="1" applyAlignment="1"/>
    <xf numFmtId="173" fontId="10" fillId="0" borderId="22" xfId="0" applyNumberFormat="1" applyFont="1" applyBorder="1" applyAlignment="1"/>
    <xf numFmtId="173" fontId="10" fillId="0" borderId="46" xfId="0" applyNumberFormat="1" applyFont="1" applyBorder="1" applyAlignment="1"/>
    <xf numFmtId="0" fontId="9" fillId="0" borderId="24" xfId="0" applyNumberFormat="1" applyFont="1" applyBorder="1" applyAlignment="1">
      <alignment horizontal="center"/>
    </xf>
    <xf numFmtId="0" fontId="9" fillId="0" borderId="69" xfId="0" applyNumberFormat="1" applyFont="1" applyBorder="1" applyAlignment="1">
      <alignment horizontal="center"/>
    </xf>
    <xf numFmtId="177" fontId="9" fillId="0" borderId="50" xfId="0" applyNumberFormat="1" applyFont="1" applyBorder="1" applyAlignment="1">
      <alignment horizontal="center"/>
    </xf>
    <xf numFmtId="173" fontId="10" fillId="0" borderId="30" xfId="0" applyNumberFormat="1" applyFont="1" applyBorder="1" applyAlignment="1"/>
    <xf numFmtId="173" fontId="10" fillId="0" borderId="64" xfId="0" applyNumberFormat="1" applyFont="1" applyBorder="1" applyAlignment="1"/>
    <xf numFmtId="173" fontId="10" fillId="0" borderId="29" xfId="0" applyNumberFormat="1" applyFont="1" applyBorder="1" applyAlignment="1"/>
    <xf numFmtId="173" fontId="10" fillId="0" borderId="56" xfId="0" applyNumberFormat="1" applyFont="1" applyBorder="1" applyAlignment="1"/>
    <xf numFmtId="169" fontId="9" fillId="32" borderId="10" xfId="42" applyNumberFormat="1" applyFont="1" applyFill="1" applyBorder="1" applyAlignment="1" applyProtection="1">
      <alignment horizontal="center" vertical="top" wrapText="1"/>
      <protection locked="0"/>
    </xf>
    <xf numFmtId="169" fontId="9" fillId="32" borderId="19" xfId="42" applyNumberFormat="1" applyFont="1" applyFill="1" applyBorder="1" applyAlignment="1" applyProtection="1">
      <alignment horizontal="center" vertical="top" wrapText="1"/>
      <protection locked="0"/>
    </xf>
    <xf numFmtId="0" fontId="6" fillId="30" borderId="68" xfId="0" applyFont="1" applyFill="1" applyBorder="1" applyAlignment="1">
      <alignment horizontal="center"/>
    </xf>
    <xf numFmtId="0" fontId="6" fillId="30" borderId="71" xfId="0" applyFont="1" applyFill="1" applyBorder="1" applyAlignment="1">
      <alignment horizontal="center"/>
    </xf>
    <xf numFmtId="0" fontId="6" fillId="30" borderId="18" xfId="0" applyFont="1" applyFill="1" applyBorder="1" applyAlignment="1">
      <alignment horizontal="center"/>
    </xf>
    <xf numFmtId="0" fontId="6" fillId="24" borderId="68" xfId="0" applyFont="1" applyFill="1" applyBorder="1" applyAlignment="1">
      <alignment horizontal="center"/>
    </xf>
    <xf numFmtId="0" fontId="6" fillId="24" borderId="71" xfId="0" applyFont="1" applyFill="1" applyBorder="1" applyAlignment="1">
      <alignment horizontal="center"/>
    </xf>
    <xf numFmtId="0" fontId="6" fillId="31" borderId="68" xfId="0" applyFont="1" applyFill="1" applyBorder="1" applyAlignment="1">
      <alignment horizontal="center"/>
    </xf>
    <xf numFmtId="0" fontId="6" fillId="31" borderId="71" xfId="0" applyFont="1" applyFill="1" applyBorder="1" applyAlignment="1">
      <alignment horizontal="center"/>
    </xf>
    <xf numFmtId="0" fontId="6" fillId="31" borderId="18" xfId="0" applyFont="1" applyFill="1" applyBorder="1" applyAlignment="1">
      <alignment horizontal="center"/>
    </xf>
    <xf numFmtId="49" fontId="8" fillId="0" borderId="68" xfId="0" applyNumberFormat="1" applyFont="1" applyBorder="1" applyAlignment="1" applyProtection="1">
      <alignment horizontal="justify" wrapText="1"/>
    </xf>
    <xf numFmtId="49" fontId="19" fillId="0" borderId="18" xfId="0" applyNumberFormat="1" applyFont="1" applyBorder="1" applyAlignment="1">
      <alignment horizontal="justify" wrapText="1"/>
    </xf>
    <xf numFmtId="49" fontId="8" fillId="0" borderId="0" xfId="0" applyNumberFormat="1" applyFont="1" applyFill="1" applyBorder="1" applyAlignment="1" applyProtection="1">
      <alignment horizontal="justify" wrapText="1"/>
    </xf>
    <xf numFmtId="49" fontId="19" fillId="0" borderId="0" xfId="0" applyNumberFormat="1" applyFont="1" applyFill="1" applyBorder="1" applyAlignment="1">
      <alignment horizontal="justify" wrapText="1"/>
    </xf>
    <xf numFmtId="0" fontId="8" fillId="0" borderId="0" xfId="0" applyFont="1" applyBorder="1" applyAlignment="1" applyProtection="1">
      <alignment horizontal="justify" vertical="top" wrapText="1"/>
    </xf>
    <xf numFmtId="0" fontId="13" fillId="0" borderId="0"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0" xfId="0" applyFont="1" applyBorder="1" applyAlignment="1" applyProtection="1">
      <alignment horizontal="justify" vertical="top" wrapText="1"/>
    </xf>
    <xf numFmtId="0" fontId="45" fillId="0" borderId="91" xfId="0" applyFont="1" applyBorder="1" applyAlignment="1" applyProtection="1">
      <alignment horizontal="justify" vertical="center" wrapText="1"/>
    </xf>
    <xf numFmtId="0" fontId="46" fillId="0" borderId="91" xfId="0" applyFont="1" applyBorder="1" applyAlignment="1">
      <alignment horizontal="justify" vertical="center" wrapText="1"/>
    </xf>
    <xf numFmtId="0" fontId="45" fillId="0" borderId="89" xfId="0" applyFont="1" applyBorder="1" applyAlignment="1" applyProtection="1">
      <alignment horizontal="justify" vertical="center"/>
    </xf>
    <xf numFmtId="0" fontId="19" fillId="0" borderId="90" xfId="0" applyFont="1" applyBorder="1" applyAlignment="1">
      <alignment horizontal="justify" vertical="center"/>
    </xf>
    <xf numFmtId="0" fontId="8" fillId="0" borderId="89" xfId="0" applyFont="1" applyBorder="1" applyAlignment="1" applyProtection="1">
      <alignment horizontal="justify" vertical="center" wrapText="1"/>
    </xf>
    <xf numFmtId="0" fontId="19" fillId="0" borderId="90" xfId="0" applyFont="1" applyBorder="1" applyAlignment="1">
      <alignment horizontal="justify" vertical="center" wrapText="1"/>
    </xf>
    <xf numFmtId="0" fontId="8" fillId="0" borderId="87" xfId="0" applyFont="1" applyBorder="1" applyAlignment="1" applyProtection="1">
      <alignment horizontal="justify" wrapText="1"/>
    </xf>
    <xf numFmtId="0" fontId="8" fillId="0" borderId="88" xfId="0" applyFont="1" applyBorder="1" applyAlignment="1" applyProtection="1">
      <alignment horizontal="justify" wrapText="1"/>
    </xf>
    <xf numFmtId="0" fontId="8" fillId="0" borderId="68" xfId="0" applyFont="1" applyBorder="1" applyAlignment="1" applyProtection="1">
      <alignment horizontal="justify" wrapText="1"/>
    </xf>
    <xf numFmtId="0" fontId="8" fillId="0" borderId="18" xfId="0" applyFont="1" applyBorder="1" applyAlignment="1" applyProtection="1">
      <alignment horizontal="justify" wrapText="1"/>
    </xf>
    <xf numFmtId="0" fontId="19" fillId="0" borderId="88" xfId="0" applyFont="1" applyBorder="1" applyAlignment="1">
      <alignment horizontal="justify" wrapText="1"/>
    </xf>
    <xf numFmtId="0" fontId="19" fillId="0" borderId="18" xfId="0" applyFont="1" applyBorder="1" applyAlignment="1">
      <alignment horizontal="justify" wrapText="1"/>
    </xf>
    <xf numFmtId="0" fontId="45" fillId="0" borderId="89" xfId="0" applyFont="1" applyBorder="1" applyAlignment="1" applyProtection="1">
      <alignment horizontal="justify" vertical="center" wrapText="1"/>
    </xf>
    <xf numFmtId="0" fontId="45" fillId="0" borderId="90" xfId="0" applyFont="1" applyBorder="1" applyAlignment="1" applyProtection="1">
      <alignment horizontal="justify" vertical="center" wrapText="1"/>
    </xf>
    <xf numFmtId="0" fontId="8" fillId="0" borderId="90" xfId="0" applyFont="1" applyBorder="1" applyAlignment="1" applyProtection="1">
      <alignment horizontal="justify" vertical="center" wrapText="1"/>
    </xf>
    <xf numFmtId="0" fontId="13" fillId="0" borderId="0" xfId="0" applyFont="1" applyFill="1" applyAlignment="1">
      <alignment horizontal="left" wrapText="1"/>
    </xf>
    <xf numFmtId="0" fontId="10" fillId="0" borderId="39" xfId="0" applyFont="1" applyFill="1" applyBorder="1" applyAlignment="1">
      <alignment horizontal="center" vertical="center"/>
    </xf>
    <xf numFmtId="0" fontId="41" fillId="0" borderId="10" xfId="0" applyFont="1" applyBorder="1"/>
    <xf numFmtId="0" fontId="10" fillId="0" borderId="9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xf>
    <xf numFmtId="0" fontId="8" fillId="0" borderId="14" xfId="0" applyFont="1" applyFill="1" applyBorder="1" applyAlignment="1">
      <alignment horizontal="left" wrapText="1"/>
    </xf>
    <xf numFmtId="0" fontId="13" fillId="0" borderId="0" xfId="0" applyFont="1" applyFill="1" applyBorder="1" applyAlignment="1" applyProtection="1">
      <alignment horizontal="left" vertical="top" wrapText="1"/>
    </xf>
    <xf numFmtId="0" fontId="10" fillId="0" borderId="10" xfId="0" applyFont="1" applyFill="1" applyBorder="1" applyAlignment="1">
      <alignment horizontal="center" vertical="center"/>
    </xf>
    <xf numFmtId="0" fontId="10" fillId="0" borderId="19" xfId="0" applyFont="1" applyFill="1" applyBorder="1" applyAlignment="1">
      <alignment horizontal="center" vertical="center"/>
    </xf>
    <xf numFmtId="0" fontId="10" fillId="24" borderId="68" xfId="0" applyFont="1" applyFill="1" applyBorder="1" applyAlignment="1">
      <alignment horizontal="center" vertical="center" wrapText="1"/>
    </xf>
    <xf numFmtId="0" fontId="41" fillId="0" borderId="71" xfId="0" applyFont="1" applyBorder="1"/>
    <xf numFmtId="0" fontId="41" fillId="0" borderId="18" xfId="0" applyFont="1" applyBorder="1"/>
    <xf numFmtId="0" fontId="10" fillId="0" borderId="53" xfId="0" applyFont="1" applyFill="1" applyBorder="1" applyAlignment="1">
      <alignment horizontal="center" vertical="center"/>
    </xf>
    <xf numFmtId="0" fontId="10" fillId="0" borderId="46" xfId="0" applyFont="1" applyFill="1" applyBorder="1" applyAlignment="1">
      <alignment horizontal="center" vertical="center"/>
    </xf>
    <xf numFmtId="0" fontId="8" fillId="0" borderId="14" xfId="0" applyFont="1" applyFill="1" applyBorder="1" applyAlignment="1">
      <alignment horizontal="left"/>
    </xf>
    <xf numFmtId="0" fontId="13" fillId="0" borderId="0" xfId="0" quotePrefix="1" applyFont="1" applyBorder="1" applyAlignment="1">
      <alignment horizontal="left" wrapText="1"/>
    </xf>
    <xf numFmtId="0" fontId="13" fillId="0" borderId="0" xfId="0" applyFont="1" applyBorder="1" applyAlignment="1">
      <alignment horizontal="left" wrapText="1"/>
    </xf>
    <xf numFmtId="0" fontId="13" fillId="0" borderId="0" xfId="0" applyFont="1" applyBorder="1" applyAlignment="1">
      <alignment wrapText="1"/>
    </xf>
    <xf numFmtId="0" fontId="8" fillId="0" borderId="14" xfId="0" applyFont="1" applyFill="1" applyBorder="1" applyAlignment="1">
      <alignment horizontal="left" vertical="top"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8" fillId="0" borderId="0" xfId="0" applyFont="1" applyFill="1" applyBorder="1" applyAlignment="1">
      <alignment horizontal="left"/>
    </xf>
    <xf numFmtId="0" fontId="10" fillId="0" borderId="92" xfId="0" applyFont="1" applyFill="1" applyBorder="1" applyAlignment="1">
      <alignment horizontal="center" wrapText="1"/>
    </xf>
    <xf numFmtId="0" fontId="10" fillId="0" borderId="41" xfId="0" applyFont="1" applyFill="1" applyBorder="1" applyAlignment="1">
      <alignment horizontal="center" wrapText="1"/>
    </xf>
    <xf numFmtId="0" fontId="10" fillId="0" borderId="20" xfId="0" applyFont="1" applyFill="1" applyBorder="1" applyAlignment="1">
      <alignment horizontal="center" wrapText="1"/>
    </xf>
    <xf numFmtId="0" fontId="10" fillId="0" borderId="3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41" fillId="0" borderId="11" xfId="0" applyFont="1" applyBorder="1"/>
    <xf numFmtId="0" fontId="10" fillId="0" borderId="74" xfId="0" applyFont="1" applyFill="1" applyBorder="1" applyAlignment="1">
      <alignment horizontal="center" vertical="top" wrapText="1"/>
    </xf>
    <xf numFmtId="0" fontId="10" fillId="0" borderId="73" xfId="0" applyFont="1" applyFill="1" applyBorder="1" applyAlignment="1">
      <alignment horizontal="center" vertical="top" wrapText="1"/>
    </xf>
    <xf numFmtId="0" fontId="10" fillId="0" borderId="79"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57" xfId="0" applyFont="1" applyFill="1" applyBorder="1" applyAlignment="1">
      <alignment horizontal="center" vertical="center" wrapText="1"/>
    </xf>
  </cellXfs>
  <cellStyles count="156">
    <cellStyle name="20% - Accent1" xfId="1" builtinId="30" customBuiltin="1"/>
    <cellStyle name="20% - Accent1 2" xfId="48"/>
    <cellStyle name="20% - Accent1 3" xfId="131"/>
    <cellStyle name="20% - Accent2" xfId="2" builtinId="34" customBuiltin="1"/>
    <cellStyle name="20% - Accent2 2" xfId="49"/>
    <cellStyle name="20% - Accent2 3" xfId="135"/>
    <cellStyle name="20% - Accent3" xfId="3" builtinId="38" customBuiltin="1"/>
    <cellStyle name="20% - Accent3 2" xfId="50"/>
    <cellStyle name="20% - Accent3 3" xfId="139"/>
    <cellStyle name="20% - Accent4" xfId="4" builtinId="42" customBuiltin="1"/>
    <cellStyle name="20% - Accent4 2" xfId="51"/>
    <cellStyle name="20% - Accent4 3" xfId="143"/>
    <cellStyle name="20% - Accent5" xfId="5" builtinId="46" customBuiltin="1"/>
    <cellStyle name="20% - Accent5 2" xfId="52"/>
    <cellStyle name="20% - Accent5 3" xfId="147"/>
    <cellStyle name="20% - Accent6" xfId="6" builtinId="50" customBuiltin="1"/>
    <cellStyle name="20% - Accent6 2" xfId="53"/>
    <cellStyle name="20% - Accent6 3" xfId="151"/>
    <cellStyle name="40% - Accent1" xfId="7" builtinId="31" customBuiltin="1"/>
    <cellStyle name="40% - Accent1 2" xfId="54"/>
    <cellStyle name="40% - Accent1 3" xfId="132"/>
    <cellStyle name="40% - Accent2" xfId="8" builtinId="35" customBuiltin="1"/>
    <cellStyle name="40% - Accent2 2" xfId="55"/>
    <cellStyle name="40% - Accent2 3" xfId="136"/>
    <cellStyle name="40% - Accent3" xfId="9" builtinId="39" customBuiltin="1"/>
    <cellStyle name="40% - Accent3 2" xfId="56"/>
    <cellStyle name="40% - Accent3 3" xfId="140"/>
    <cellStyle name="40% - Accent4" xfId="10" builtinId="43" customBuiltin="1"/>
    <cellStyle name="40% - Accent4 2" xfId="57"/>
    <cellStyle name="40% - Accent4 3" xfId="144"/>
    <cellStyle name="40% - Accent5" xfId="11" builtinId="47" customBuiltin="1"/>
    <cellStyle name="40% - Accent5 2" xfId="58"/>
    <cellStyle name="40% - Accent5 3" xfId="148"/>
    <cellStyle name="40% - Accent6" xfId="12" builtinId="51" customBuiltin="1"/>
    <cellStyle name="40% - Accent6 2" xfId="59"/>
    <cellStyle name="40% - Accent6 3" xfId="152"/>
    <cellStyle name="60% - Accent1" xfId="13" builtinId="32" customBuiltin="1"/>
    <cellStyle name="60% - Accent1 2" xfId="60"/>
    <cellStyle name="60% - Accent1 3" xfId="133"/>
    <cellStyle name="60% - Accent2" xfId="14" builtinId="36" customBuiltin="1"/>
    <cellStyle name="60% - Accent2 2" xfId="61"/>
    <cellStyle name="60% - Accent2 3" xfId="137"/>
    <cellStyle name="60% - Accent3" xfId="15" builtinId="40" customBuiltin="1"/>
    <cellStyle name="60% - Accent3 2" xfId="62"/>
    <cellStyle name="60% - Accent3 3" xfId="141"/>
    <cellStyle name="60% - Accent4" xfId="16" builtinId="44" customBuiltin="1"/>
    <cellStyle name="60% - Accent4 2" xfId="63"/>
    <cellStyle name="60% - Accent4 3" xfId="145"/>
    <cellStyle name="60% - Accent5" xfId="17" builtinId="48" customBuiltin="1"/>
    <cellStyle name="60% - Accent5 2" xfId="64"/>
    <cellStyle name="60% - Accent5 3" xfId="149"/>
    <cellStyle name="60% - Accent6" xfId="18" builtinId="52" customBuiltin="1"/>
    <cellStyle name="60% - Accent6 2" xfId="65"/>
    <cellStyle name="60% - Accent6 3" xfId="153"/>
    <cellStyle name="Accent1" xfId="19" builtinId="29" customBuiltin="1"/>
    <cellStyle name="Accent1 2" xfId="66"/>
    <cellStyle name="Accent1 3" xfId="130"/>
    <cellStyle name="Accent2" xfId="20" builtinId="33" customBuiltin="1"/>
    <cellStyle name="Accent2 2" xfId="67"/>
    <cellStyle name="Accent2 3" xfId="134"/>
    <cellStyle name="Accent3" xfId="21" builtinId="37" customBuiltin="1"/>
    <cellStyle name="Accent3 2" xfId="68"/>
    <cellStyle name="Accent3 3" xfId="138"/>
    <cellStyle name="Accent4" xfId="22" builtinId="41" customBuiltin="1"/>
    <cellStyle name="Accent4 2" xfId="69"/>
    <cellStyle name="Accent4 3" xfId="142"/>
    <cellStyle name="Accent5" xfId="23" builtinId="45" customBuiltin="1"/>
    <cellStyle name="Accent5 2" xfId="70"/>
    <cellStyle name="Accent5 3" xfId="146"/>
    <cellStyle name="Accent6" xfId="24" builtinId="49" customBuiltin="1"/>
    <cellStyle name="Accent6 2" xfId="71"/>
    <cellStyle name="Accent6 3" xfId="150"/>
    <cellStyle name="Bad" xfId="25" builtinId="27" customBuiltin="1"/>
    <cellStyle name="Bad 2" xfId="72"/>
    <cellStyle name="Bad 3" xfId="119"/>
    <cellStyle name="Calculation" xfId="26" builtinId="22" customBuiltin="1"/>
    <cellStyle name="Calculation 2" xfId="73"/>
    <cellStyle name="Calculation 3" xfId="123"/>
    <cellStyle name="Check Cell" xfId="27" builtinId="23" customBuiltin="1"/>
    <cellStyle name="Check Cell 2" xfId="74"/>
    <cellStyle name="Check Cell 3" xfId="125"/>
    <cellStyle name="Comma" xfId="28" builtinId="3"/>
    <cellStyle name="Comma 2" xfId="75"/>
    <cellStyle name="Comma 3" xfId="76"/>
    <cellStyle name="Comma 3 2" xfId="106"/>
    <cellStyle name="Comma_B Schedule Municipal Adjustments Budget - 23 March 2009 cb" xfId="29"/>
    <cellStyle name="Currency 8" xfId="77"/>
    <cellStyle name="Currency 8 2" xfId="107"/>
    <cellStyle name="Explanatory Text" xfId="30" builtinId="53" customBuiltin="1"/>
    <cellStyle name="Explanatory Text 2" xfId="78"/>
    <cellStyle name="Explanatory Text 3" xfId="128"/>
    <cellStyle name="Followed Hyperlink" xfId="155" builtinId="9" customBuiltin="1"/>
    <cellStyle name="Good" xfId="31" builtinId="26" customBuiltin="1"/>
    <cellStyle name="Good 2" xfId="79"/>
    <cellStyle name="Good 3" xfId="118"/>
    <cellStyle name="Heading 1" xfId="32" builtinId="16" customBuiltin="1"/>
    <cellStyle name="Heading 1 2" xfId="80"/>
    <cellStyle name="Heading 1 3" xfId="114"/>
    <cellStyle name="Heading 2" xfId="33" builtinId="17" customBuiltin="1"/>
    <cellStyle name="Heading 2 2" xfId="81"/>
    <cellStyle name="Heading 2 3" xfId="115"/>
    <cellStyle name="Heading 3" xfId="34" builtinId="18" customBuiltin="1"/>
    <cellStyle name="Heading 3 2" xfId="82"/>
    <cellStyle name="Heading 3 3" xfId="116"/>
    <cellStyle name="Heading 4" xfId="35" builtinId="19" customBuiltin="1"/>
    <cellStyle name="Heading 4 2" xfId="83"/>
    <cellStyle name="Heading 4 3" xfId="117"/>
    <cellStyle name="Hyperlink 2" xfId="84"/>
    <cellStyle name="Hyperlink 3" xfId="154"/>
    <cellStyle name="Hyperlink_AppA_Muncde_2010" xfId="36"/>
    <cellStyle name="Input" xfId="37" builtinId="20" customBuiltin="1"/>
    <cellStyle name="Input 2" xfId="85"/>
    <cellStyle name="Input 3" xfId="121"/>
    <cellStyle name="Linked Cell" xfId="38" builtinId="24" customBuiltin="1"/>
    <cellStyle name="Linked Cell 2" xfId="86"/>
    <cellStyle name="Linked Cell 3" xfId="124"/>
    <cellStyle name="Neutral" xfId="39" builtinId="28" customBuiltin="1"/>
    <cellStyle name="Neutral 2" xfId="87"/>
    <cellStyle name="Neutral 3" xfId="120"/>
    <cellStyle name="Normal" xfId="0" builtinId="0"/>
    <cellStyle name="Normal 138" xfId="88"/>
    <cellStyle name="Normal 138 2" xfId="108"/>
    <cellStyle name="Normal 146" xfId="89"/>
    <cellStyle name="Normal 146 2" xfId="109"/>
    <cellStyle name="Normal 2" xfId="90"/>
    <cellStyle name="Normal 23" xfId="91"/>
    <cellStyle name="Normal 3" xfId="92"/>
    <cellStyle name="Normal 3 2" xfId="110"/>
    <cellStyle name="Normal 4" xfId="93"/>
    <cellStyle name="Normal 4 2" xfId="94"/>
    <cellStyle name="Normal 4 3" xfId="95"/>
    <cellStyle name="Normal 5" xfId="47"/>
    <cellStyle name="Normal 6" xfId="96"/>
    <cellStyle name="Note" xfId="40" builtinId="10" customBuiltin="1"/>
    <cellStyle name="Note 2" xfId="97"/>
    <cellStyle name="Note 3" xfId="127"/>
    <cellStyle name="Output" xfId="41" builtinId="21" customBuiltin="1"/>
    <cellStyle name="Output 2" xfId="98"/>
    <cellStyle name="Output 3" xfId="122"/>
    <cellStyle name="Percent" xfId="42" builtinId="5"/>
    <cellStyle name="Percent 10 2" xfId="43"/>
    <cellStyle name="Percent 10 2 2" xfId="100"/>
    <cellStyle name="Percent 10 2 3" xfId="99"/>
    <cellStyle name="Percent 6" xfId="101"/>
    <cellStyle name="Percent 6 2" xfId="111"/>
    <cellStyle name="Percent 9" xfId="102"/>
    <cellStyle name="Percent 9 2" xfId="112"/>
    <cellStyle name="Title" xfId="44" builtinId="15" customBuiltin="1"/>
    <cellStyle name="Title 2" xfId="103"/>
    <cellStyle name="Title 3" xfId="113"/>
    <cellStyle name="Total" xfId="45" builtinId="25" customBuiltin="1"/>
    <cellStyle name="Total 2" xfId="104"/>
    <cellStyle name="Total 3" xfId="129"/>
    <cellStyle name="Warning Text" xfId="46" builtinId="11" customBuiltin="1"/>
    <cellStyle name="Warning Text 2" xfId="105"/>
    <cellStyle name="Warning Text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63007254.579999983</c:v>
                </c:pt>
                <c:pt idx="1">
                  <c:v>22044302.580000002</c:v>
                </c:pt>
                <c:pt idx="2">
                  <c:v>23430435.810000002</c:v>
                </c:pt>
                <c:pt idx="3">
                  <c:v>13884810.210000001</c:v>
                </c:pt>
                <c:pt idx="4">
                  <c:v>557594611.64999998</c:v>
                </c:pt>
                <c:pt idx="5">
                  <c:v>0</c:v>
                </c:pt>
                <c:pt idx="6">
                  <c:v>0</c:v>
                </c:pt>
                <c:pt idx="7">
                  <c:v>0</c:v>
                </c:pt>
              </c:numCache>
            </c:numRef>
          </c:val>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242994736"/>
        <c:axId val="242995856"/>
        <c:axId val="0"/>
      </c:bar3DChart>
      <c:catAx>
        <c:axId val="242994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42995856"/>
        <c:crosses val="autoZero"/>
        <c:auto val="1"/>
        <c:lblAlgn val="ctr"/>
        <c:lblOffset val="100"/>
        <c:tickLblSkip val="1"/>
        <c:tickMarkSkip val="1"/>
        <c:noMultiLvlLbl val="0"/>
      </c:catAx>
      <c:valAx>
        <c:axId val="24299585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242994736"/>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20687050.4267</c:v>
                </c:pt>
                <c:pt idx="1">
                  <c:v>224641244.30050004</c:v>
                </c:pt>
                <c:pt idx="2">
                  <c:v>355645728.39539999</c:v>
                </c:pt>
                <c:pt idx="3">
                  <c:v>58588549.262499996</c:v>
                </c:pt>
              </c:numCache>
            </c:numRef>
          </c:val>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21326856.109999999</c:v>
                </c:pt>
                <c:pt idx="1">
                  <c:v>231588911.65000004</c:v>
                </c:pt>
                <c:pt idx="2">
                  <c:v>366645080.81999999</c:v>
                </c:pt>
                <c:pt idx="3">
                  <c:v>60400566.25</c:v>
                </c:pt>
              </c:numCache>
            </c:numRef>
          </c:val>
        </c:ser>
        <c:dLbls>
          <c:showLegendKey val="0"/>
          <c:showVal val="0"/>
          <c:showCatName val="0"/>
          <c:showSerName val="0"/>
          <c:showPercent val="0"/>
          <c:showBubbleSize val="0"/>
        </c:dLbls>
        <c:gapWidth val="150"/>
        <c:shape val="box"/>
        <c:axId val="368534032"/>
        <c:axId val="368534592"/>
        <c:axId val="0"/>
      </c:bar3DChart>
      <c:catAx>
        <c:axId val="36853403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68534592"/>
        <c:crosses val="autoZero"/>
        <c:auto val="1"/>
        <c:lblAlgn val="ctr"/>
        <c:lblOffset val="100"/>
        <c:tickLblSkip val="1"/>
        <c:tickMarkSkip val="1"/>
        <c:noMultiLvlLbl val="0"/>
      </c:catAx>
      <c:valAx>
        <c:axId val="36853459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6853403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0</c:v>
                </c:pt>
                <c:pt idx="1">
                  <c:v>0</c:v>
                </c:pt>
                <c:pt idx="2">
                  <c:v>0</c:v>
                </c:pt>
                <c:pt idx="3">
                  <c:v>0</c:v>
                </c:pt>
                <c:pt idx="4">
                  <c:v>0</c:v>
                </c:pt>
                <c:pt idx="5">
                  <c:v>0</c:v>
                </c:pt>
                <c:pt idx="6">
                  <c:v>0</c:v>
                </c:pt>
                <c:pt idx="7">
                  <c:v>0</c:v>
                </c:pt>
                <c:pt idx="8">
                  <c:v>0</c:v>
                </c:pt>
              </c:numCache>
            </c:numRef>
          </c:val>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0</c:v>
                </c:pt>
                <c:pt idx="1">
                  <c:v>0</c:v>
                </c:pt>
                <c:pt idx="2">
                  <c:v>0</c:v>
                </c:pt>
                <c:pt idx="3">
                  <c:v>0</c:v>
                </c:pt>
                <c:pt idx="4">
                  <c:v>0</c:v>
                </c:pt>
                <c:pt idx="5">
                  <c:v>0</c:v>
                </c:pt>
                <c:pt idx="6">
                  <c:v>2650630.5100000002</c:v>
                </c:pt>
                <c:pt idx="7">
                  <c:v>0</c:v>
                </c:pt>
                <c:pt idx="8">
                  <c:v>0</c:v>
                </c:pt>
              </c:numCache>
            </c:numRef>
          </c:val>
        </c:ser>
        <c:dLbls>
          <c:showLegendKey val="0"/>
          <c:showVal val="0"/>
          <c:showCatName val="0"/>
          <c:showSerName val="0"/>
          <c:showPercent val="0"/>
          <c:showBubbleSize val="0"/>
        </c:dLbls>
        <c:gapWidth val="150"/>
        <c:shape val="box"/>
        <c:axId val="364571200"/>
        <c:axId val="364571760"/>
        <c:axId val="0"/>
      </c:bar3DChart>
      <c:catAx>
        <c:axId val="36457120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64571760"/>
        <c:crosses val="autoZero"/>
        <c:auto val="1"/>
        <c:lblAlgn val="ctr"/>
        <c:lblOffset val="100"/>
        <c:tickLblSkip val="2"/>
        <c:tickMarkSkip val="1"/>
        <c:noMultiLvlLbl val="0"/>
      </c:catAx>
      <c:valAx>
        <c:axId val="3645717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6457120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19231011.369999997</c:v>
                </c:pt>
                <c:pt idx="1">
                  <c:v>7413792.5199999996</c:v>
                </c:pt>
                <c:pt idx="2">
                  <c:v>5606695.8200000003</c:v>
                </c:pt>
                <c:pt idx="3">
                  <c:v>5872546.5199999996</c:v>
                </c:pt>
                <c:pt idx="4">
                  <c:v>4185356.82</c:v>
                </c:pt>
                <c:pt idx="5">
                  <c:v>7353836.1899999995</c:v>
                </c:pt>
                <c:pt idx="6">
                  <c:v>2583015.5900000003</c:v>
                </c:pt>
                <c:pt idx="7">
                  <c:v>10959701.699999999</c:v>
                </c:pt>
                <c:pt idx="8">
                  <c:v>5548374.54</c:v>
                </c:pt>
                <c:pt idx="9">
                  <c:v>8654474.5399999991</c:v>
                </c:pt>
                <c:pt idx="10">
                  <c:v>17774802.169999998</c:v>
                </c:pt>
                <c:pt idx="11">
                  <c:v>8264280</c:v>
                </c:pt>
              </c:numCache>
            </c:numRef>
          </c:val>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5554740.2300000004</c:v>
                </c:pt>
                <c:pt idx="1">
                  <c:v>24246351.16</c:v>
                </c:pt>
                <c:pt idx="2">
                  <c:v>4790238.71</c:v>
                </c:pt>
                <c:pt idx="3">
                  <c:v>4804471.47</c:v>
                </c:pt>
                <c:pt idx="4">
                  <c:v>9915031.4600000009</c:v>
                </c:pt>
                <c:pt idx="5">
                  <c:v>25314667.419999998</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526439600"/>
        <c:axId val="526440160"/>
        <c:axId val="0"/>
      </c:bar3DChart>
      <c:catAx>
        <c:axId val="52643960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26440160"/>
        <c:crosses val="autoZero"/>
        <c:auto val="1"/>
        <c:lblAlgn val="ctr"/>
        <c:lblOffset val="100"/>
        <c:tickLblSkip val="1"/>
        <c:tickMarkSkip val="1"/>
        <c:noMultiLvlLbl val="0"/>
      </c:catAx>
      <c:valAx>
        <c:axId val="52644016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2643960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5554740.2300000004</c:v>
                </c:pt>
                <c:pt idx="1">
                  <c:v>29801091.390000001</c:v>
                </c:pt>
                <c:pt idx="2">
                  <c:v>34591330.100000001</c:v>
                </c:pt>
                <c:pt idx="3">
                  <c:v>39395801.57</c:v>
                </c:pt>
                <c:pt idx="4">
                  <c:v>49310833.030000001</c:v>
                </c:pt>
                <c:pt idx="5">
                  <c:v>74625500.450000003</c:v>
                </c:pt>
                <c:pt idx="6">
                  <c:v>0</c:v>
                </c:pt>
                <c:pt idx="7">
                  <c:v>0</c:v>
                </c:pt>
                <c:pt idx="8">
                  <c:v>0</c:v>
                </c:pt>
                <c:pt idx="9">
                  <c:v>0</c:v>
                </c:pt>
                <c:pt idx="10">
                  <c:v>0</c:v>
                </c:pt>
                <c:pt idx="11">
                  <c:v>0</c:v>
                </c:pt>
              </c:numCache>
            </c:numRef>
          </c:val>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3597000</c:v>
                </c:pt>
                <c:pt idx="1">
                  <c:v>13137000</c:v>
                </c:pt>
                <c:pt idx="2">
                  <c:v>20682000</c:v>
                </c:pt>
                <c:pt idx="3">
                  <c:v>31265000</c:v>
                </c:pt>
                <c:pt idx="4">
                  <c:v>45485000</c:v>
                </c:pt>
                <c:pt idx="5">
                  <c:v>64881000</c:v>
                </c:pt>
                <c:pt idx="6">
                  <c:v>78237000</c:v>
                </c:pt>
                <c:pt idx="7">
                  <c:v>97546000</c:v>
                </c:pt>
                <c:pt idx="8">
                  <c:v>110701000</c:v>
                </c:pt>
                <c:pt idx="9">
                  <c:v>121248000</c:v>
                </c:pt>
                <c:pt idx="10">
                  <c:v>131069000</c:v>
                </c:pt>
                <c:pt idx="11">
                  <c:v>142486000</c:v>
                </c:pt>
              </c:numCache>
            </c:numRef>
          </c:val>
        </c:ser>
        <c:dLbls>
          <c:showLegendKey val="0"/>
          <c:showVal val="0"/>
          <c:showCatName val="0"/>
          <c:showSerName val="0"/>
          <c:showPercent val="0"/>
          <c:showBubbleSize val="0"/>
        </c:dLbls>
        <c:gapWidth val="150"/>
        <c:shape val="box"/>
        <c:axId val="565007040"/>
        <c:axId val="565007600"/>
        <c:axId val="0"/>
      </c:bar3DChart>
      <c:catAx>
        <c:axId val="565007040"/>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565007600"/>
        <c:crosses val="autoZero"/>
        <c:auto val="1"/>
        <c:lblAlgn val="ctr"/>
        <c:lblOffset val="100"/>
        <c:tickLblSkip val="1"/>
        <c:tickMarkSkip val="1"/>
        <c:noMultiLvlLbl val="0"/>
      </c:catAx>
      <c:valAx>
        <c:axId val="56500760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6500704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31" val="125"/>
</file>

<file path=xl/ctrlProps/ctrlProp5.xml><?xml version="1.0" encoding="utf-8"?>
<formControlPr xmlns="http://schemas.microsoft.com/office/spreadsheetml/2009/9/main" objectType="Drop" dropLines="6" dropStyle="combo" dx="22" fmlaLink="$X$10" fmlaRange="$X$39:$X$55" noThreeD="1" sel="6" val="4"/>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651089" name="Group 28"/>
        <xdr:cNvGrpSpPr>
          <a:grpSpLocks/>
        </xdr:cNvGrpSpPr>
      </xdr:nvGrpSpPr>
      <xdr:grpSpPr bwMode="auto">
        <a:xfrm>
          <a:off x="0" y="0"/>
          <a:ext cx="8601075" cy="6400800"/>
          <a:chOff x="0" y="0"/>
          <a:chExt cx="903" cy="672"/>
        </a:xfrm>
      </xdr:grpSpPr>
      <xdr:grpSp>
        <xdr:nvGrpSpPr>
          <xdr:cNvPr id="1651091" name="Group 1"/>
          <xdr:cNvGrpSpPr>
            <a:grpSpLocks/>
          </xdr:cNvGrpSpPr>
        </xdr:nvGrpSpPr>
        <xdr:grpSpPr bwMode="auto">
          <a:xfrm>
            <a:off x="0" y="0"/>
            <a:ext cx="903" cy="672"/>
            <a:chOff x="0" y="0"/>
            <a:chExt cx="791" cy="672"/>
          </a:xfrm>
        </xdr:grpSpPr>
        <xdr:grpSp>
          <xdr:nvGrpSpPr>
            <xdr:cNvPr id="1651093" name="Group 2"/>
            <xdr:cNvGrpSpPr>
              <a:grpSpLocks/>
            </xdr:cNvGrpSpPr>
          </xdr:nvGrpSpPr>
          <xdr:grpSpPr bwMode="auto">
            <a:xfrm>
              <a:off x="0" y="0"/>
              <a:ext cx="791" cy="672"/>
              <a:chOff x="12" y="17"/>
              <a:chExt cx="791" cy="672"/>
            </a:xfrm>
          </xdr:grpSpPr>
          <xdr:pic>
            <xdr:nvPicPr>
              <xdr:cNvPr id="165109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09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097" name="Group 5"/>
              <xdr:cNvGrpSpPr>
                <a:grpSpLocks/>
              </xdr:cNvGrpSpPr>
            </xdr:nvGrpSpPr>
            <xdr:grpSpPr bwMode="auto">
              <a:xfrm>
                <a:off x="416" y="255"/>
                <a:ext cx="367" cy="413"/>
                <a:chOff x="416" y="255"/>
                <a:chExt cx="367" cy="413"/>
              </a:xfrm>
            </xdr:grpSpPr>
            <xdr:pic>
              <xdr:nvPicPr>
                <xdr:cNvPr id="1651102"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103" name="Group 7"/>
                <xdr:cNvGrpSpPr>
                  <a:grpSpLocks/>
                </xdr:cNvGrpSpPr>
              </xdr:nvGrpSpPr>
              <xdr:grpSpPr bwMode="auto">
                <a:xfrm>
                  <a:off x="432" y="264"/>
                  <a:ext cx="286" cy="128"/>
                  <a:chOff x="426" y="263"/>
                  <a:chExt cx="290" cy="130"/>
                </a:xfrm>
              </xdr:grpSpPr>
              <xdr:pic>
                <xdr:nvPicPr>
                  <xdr:cNvPr id="1651105"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51106"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651098" name="Group 11"/>
              <xdr:cNvGrpSpPr>
                <a:grpSpLocks/>
              </xdr:cNvGrpSpPr>
            </xdr:nvGrpSpPr>
            <xdr:grpSpPr bwMode="auto">
              <a:xfrm>
                <a:off x="76" y="364"/>
                <a:ext cx="289" cy="256"/>
                <a:chOff x="76" y="364"/>
                <a:chExt cx="289" cy="256"/>
              </a:xfrm>
            </xdr:grpSpPr>
            <xdr:pic>
              <xdr:nvPicPr>
                <xdr:cNvPr id="1651099"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0"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1"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651094"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72061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72061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720626" name="TextBox2"/>
            <xdr:cNvPicPr preferRelativeResize="0">
              <a:picLocks noChangeArrowheads="1" noChangeShapeType="1"/>
              <a:extLst>
                <a:ext uri="{84589F7E-364E-4C9E-8A38-B11213B215E9}">
                  <a14:cameraTool cellRange="FinYear" spid="_x0000_s1721013"/>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720631"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6054"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72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72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72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72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72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topLeftCell="A22" zoomScaleNormal="100" workbookViewId="0"/>
  </sheetViews>
  <sheetFormatPr defaultRowHeight="12.75" x14ac:dyDescent="0.2"/>
  <sheetData>
    <row r="1" spans="1:1" x14ac:dyDescent="0.2">
      <c r="A1" t="str">
        <f>muni</f>
        <v>LIM333 Greater Tzaneen</v>
      </c>
    </row>
  </sheetData>
  <sheetProtection sheet="1" objects="1" scenarios="1"/>
  <phoneticPr fontId="5"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14" activePane="bottomRight" state="frozen"/>
      <selection pane="topRight"/>
      <selection pane="bottomLeft"/>
      <selection pane="bottomRight" activeCell="H40" sqref="H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6" t="str">
        <f>muni&amp; " - "&amp;S71C&amp; " - "&amp;date</f>
        <v>LIM333 Greater Tzaneen - Table C3 Consolidated Monthly Budget Statement - Financial Performance (revenue and expenditure by municipal vote)  - M06 December</v>
      </c>
      <c r="B1" s="1026"/>
      <c r="C1" s="1026"/>
      <c r="D1" s="1026"/>
      <c r="E1" s="1026"/>
      <c r="F1" s="1026"/>
      <c r="G1" s="1026"/>
      <c r="H1" s="1026"/>
      <c r="I1" s="1026"/>
      <c r="J1" s="1026"/>
      <c r="K1" s="1026"/>
    </row>
    <row r="2" spans="1:24" x14ac:dyDescent="0.25">
      <c r="A2" s="20" t="str">
        <f>Vdesc</f>
        <v>Vote Description</v>
      </c>
      <c r="B2" s="1017" t="str">
        <f>head27</f>
        <v>Ref</v>
      </c>
      <c r="C2" s="142" t="str">
        <f>Head1</f>
        <v>2018/19</v>
      </c>
      <c r="D2" s="1019" t="str">
        <f>Head2</f>
        <v>Budget Year 2019/20</v>
      </c>
      <c r="E2" s="1020"/>
      <c r="F2" s="1020"/>
      <c r="G2" s="1020"/>
      <c r="H2" s="1020"/>
      <c r="I2" s="1020"/>
      <c r="J2" s="1020"/>
      <c r="K2" s="1021"/>
    </row>
    <row r="3" spans="1:24" ht="25.5" x14ac:dyDescent="0.25">
      <c r="A3" s="168"/>
      <c r="B3" s="1028"/>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676</v>
      </c>
      <c r="B4" s="1029"/>
      <c r="C4" s="223"/>
      <c r="D4" s="240"/>
      <c r="E4" s="241"/>
      <c r="F4" s="82"/>
      <c r="G4" s="82"/>
      <c r="H4" s="82"/>
      <c r="I4" s="82"/>
      <c r="J4" s="242" t="s">
        <v>583</v>
      </c>
      <c r="K4" s="223"/>
      <c r="L4" s="67"/>
      <c r="M4" s="67"/>
      <c r="N4" s="67"/>
      <c r="O4" s="67"/>
      <c r="P4" s="67"/>
      <c r="Q4" s="67"/>
      <c r="R4" s="67"/>
      <c r="S4" s="67"/>
      <c r="T4" s="67"/>
      <c r="U4" s="67"/>
      <c r="V4" s="67"/>
      <c r="W4" s="67"/>
      <c r="X4" s="67"/>
    </row>
    <row r="5" spans="1:24" ht="11.25" customHeight="1" x14ac:dyDescent="0.25">
      <c r="A5" s="35" t="s">
        <v>760</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Municipal Manager</v>
      </c>
      <c r="B6" s="169"/>
      <c r="C6" s="134">
        <f>'C3C'!C6</f>
        <v>0</v>
      </c>
      <c r="D6" s="46">
        <f>'C3C'!D6</f>
        <v>1229</v>
      </c>
      <c r="E6" s="44">
        <f>'C3C'!E6</f>
        <v>1229</v>
      </c>
      <c r="F6" s="44">
        <f>'C3C'!F6</f>
        <v>0</v>
      </c>
      <c r="G6" s="44">
        <f>'C3C'!G6</f>
        <v>0</v>
      </c>
      <c r="H6" s="44">
        <f>'C3C'!H6</f>
        <v>0</v>
      </c>
      <c r="I6" s="44">
        <f>G6-H6</f>
        <v>0</v>
      </c>
      <c r="J6" s="716" t="str">
        <f>IF(I6=0,"",I6/H6)</f>
        <v/>
      </c>
      <c r="K6" s="144">
        <f>'C3C'!K6</f>
        <v>1229</v>
      </c>
      <c r="L6" s="167"/>
      <c r="M6" s="167"/>
      <c r="N6" s="167"/>
      <c r="O6" s="167"/>
      <c r="P6" s="167"/>
      <c r="Q6" s="167"/>
      <c r="R6" s="167"/>
      <c r="S6" s="167"/>
      <c r="T6" s="167"/>
      <c r="U6" s="167"/>
      <c r="V6" s="167"/>
      <c r="W6" s="167"/>
      <c r="X6" s="67"/>
    </row>
    <row r="7" spans="1:24" ht="12.75" customHeight="1" x14ac:dyDescent="0.25">
      <c r="A7" s="407" t="str">
        <f>'Org structure'!A3</f>
        <v>Vote 2 - Planning &amp; Economic Development</v>
      </c>
      <c r="B7" s="169"/>
      <c r="C7" s="134">
        <f>'C3C'!C17</f>
        <v>233505</v>
      </c>
      <c r="D7" s="46">
        <f>'C3C'!D17</f>
        <v>300125</v>
      </c>
      <c r="E7" s="44">
        <f>'C3C'!E17</f>
        <v>300125</v>
      </c>
      <c r="F7" s="44">
        <f>'C3C'!F17</f>
        <v>15612.24</v>
      </c>
      <c r="G7" s="44">
        <f>'C3C'!G17</f>
        <v>145347.24</v>
      </c>
      <c r="H7" s="44">
        <f>'C3C'!H17</f>
        <v>128350</v>
      </c>
      <c r="I7" s="44">
        <f t="shared" ref="I7:I20" si="0">G7-H7</f>
        <v>16997.239999999991</v>
      </c>
      <c r="J7" s="716">
        <f t="shared" ref="J7:J21" si="1">IF(I7=0,"",I7/H7)</f>
        <v>0.13242882742500967</v>
      </c>
      <c r="K7" s="144">
        <f>'C3C'!K17</f>
        <v>300125</v>
      </c>
      <c r="L7" s="167"/>
      <c r="M7" s="167"/>
      <c r="N7" s="167"/>
      <c r="O7" s="167"/>
      <c r="P7" s="167"/>
      <c r="Q7" s="167"/>
      <c r="R7" s="167"/>
      <c r="S7" s="167"/>
      <c r="T7" s="167"/>
      <c r="U7" s="167"/>
      <c r="V7" s="167"/>
      <c r="W7" s="167"/>
      <c r="X7" s="67"/>
    </row>
    <row r="8" spans="1:24" ht="12.75" customHeight="1" x14ac:dyDescent="0.25">
      <c r="A8" s="407" t="str">
        <f>'Org structure'!A4</f>
        <v>Vote 3 - Financial Services</v>
      </c>
      <c r="B8" s="169"/>
      <c r="C8" s="134">
        <f>'C3C'!C28</f>
        <v>510246958.14000005</v>
      </c>
      <c r="D8" s="46">
        <f>'C3C'!D28</f>
        <v>510036650</v>
      </c>
      <c r="E8" s="44">
        <f>'C3C'!E28</f>
        <v>510036650</v>
      </c>
      <c r="F8" s="44">
        <f>'C3C'!F28</f>
        <v>140822089.40000001</v>
      </c>
      <c r="G8" s="44">
        <f>'C3C'!G28</f>
        <v>369723237.61000001</v>
      </c>
      <c r="H8" s="44">
        <f>'C3C'!H28</f>
        <v>327657257.44</v>
      </c>
      <c r="I8" s="44">
        <f t="shared" si="0"/>
        <v>42065980.170000017</v>
      </c>
      <c r="J8" s="716">
        <f t="shared" si="1"/>
        <v>0.12838409409473575</v>
      </c>
      <c r="K8" s="144">
        <f>'C3C'!K28</f>
        <v>510036650</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747390.57</v>
      </c>
      <c r="D9" s="46">
        <f>'C3C'!D39</f>
        <v>128</v>
      </c>
      <c r="E9" s="44">
        <f>'C3C'!E39</f>
        <v>128</v>
      </c>
      <c r="F9" s="44">
        <f>'C3C'!F39</f>
        <v>0</v>
      </c>
      <c r="G9" s="44">
        <f>'C3C'!G39</f>
        <v>0</v>
      </c>
      <c r="H9" s="44">
        <f>'C3C'!H39</f>
        <v>50312.84</v>
      </c>
      <c r="I9" s="44">
        <f t="shared" si="0"/>
        <v>-50312.84</v>
      </c>
      <c r="J9" s="716">
        <f t="shared" si="1"/>
        <v>-1</v>
      </c>
      <c r="K9" s="144">
        <f>'C3C'!K39</f>
        <v>128</v>
      </c>
      <c r="L9" s="167"/>
      <c r="M9" s="167"/>
      <c r="N9" s="167"/>
      <c r="O9" s="167"/>
      <c r="P9" s="167"/>
      <c r="Q9" s="167"/>
      <c r="R9" s="167"/>
      <c r="S9" s="167"/>
      <c r="T9" s="167"/>
      <c r="U9" s="167"/>
      <c r="V9" s="167"/>
      <c r="W9" s="167"/>
      <c r="X9" s="67"/>
    </row>
    <row r="10" spans="1:24" ht="12.75" customHeight="1" x14ac:dyDescent="0.25">
      <c r="A10" s="407" t="str">
        <f>'Org structure'!A6</f>
        <v>Vote 5 - Community Services</v>
      </c>
      <c r="B10" s="169"/>
      <c r="C10" s="134">
        <f>'C3C'!C50</f>
        <v>39120601.050000004</v>
      </c>
      <c r="D10" s="46">
        <f>'C3C'!D50</f>
        <v>63100559</v>
      </c>
      <c r="E10" s="44">
        <f>'C3C'!E50</f>
        <v>63100559</v>
      </c>
      <c r="F10" s="44">
        <f>'C3C'!F50</f>
        <v>2802519.74</v>
      </c>
      <c r="G10" s="44">
        <f>'C3C'!G50</f>
        <v>21289686.25</v>
      </c>
      <c r="H10" s="44">
        <f>'C3C'!H50</f>
        <v>20906109.350000001</v>
      </c>
      <c r="I10" s="44">
        <f t="shared" si="0"/>
        <v>383576.89999999851</v>
      </c>
      <c r="J10" s="716">
        <f t="shared" si="1"/>
        <v>1.834759847364897E-2</v>
      </c>
      <c r="K10" s="144">
        <f>'C3C'!K50</f>
        <v>63100559</v>
      </c>
      <c r="L10" s="167"/>
      <c r="M10" s="167"/>
      <c r="N10" s="167"/>
      <c r="O10" s="167"/>
      <c r="P10" s="167"/>
      <c r="Q10" s="167"/>
      <c r="R10" s="167"/>
      <c r="S10" s="167"/>
      <c r="T10" s="167"/>
      <c r="U10" s="167"/>
      <c r="V10" s="167"/>
      <c r="W10" s="167"/>
      <c r="X10" s="67"/>
    </row>
    <row r="11" spans="1:24" ht="12.75" customHeight="1" x14ac:dyDescent="0.25">
      <c r="A11" s="407" t="str">
        <f>'Org structure'!A7</f>
        <v>Vote 6 - Community Services</v>
      </c>
      <c r="B11" s="169"/>
      <c r="C11" s="134">
        <f>'C3C'!C61</f>
        <v>46661510.850000001</v>
      </c>
      <c r="D11" s="46">
        <f>'C3C'!D61</f>
        <v>91682291</v>
      </c>
      <c r="E11" s="44">
        <f>'C3C'!E61</f>
        <v>91682291</v>
      </c>
      <c r="F11" s="44">
        <f>'C3C'!F61</f>
        <v>5992454.3899999997</v>
      </c>
      <c r="G11" s="44">
        <f>'C3C'!G61</f>
        <v>34789403.329999998</v>
      </c>
      <c r="H11" s="44">
        <f>'C3C'!H61</f>
        <v>30245370.530000001</v>
      </c>
      <c r="I11" s="44">
        <f t="shared" si="0"/>
        <v>4544032.799999997</v>
      </c>
      <c r="J11" s="716">
        <f t="shared" si="1"/>
        <v>0.15023895294960357</v>
      </c>
      <c r="K11" s="144">
        <f>'C3C'!K61</f>
        <v>91682291</v>
      </c>
      <c r="L11" s="167"/>
      <c r="M11" s="167"/>
      <c r="N11" s="167"/>
      <c r="O11" s="167"/>
      <c r="P11" s="167"/>
      <c r="Q11" s="167"/>
      <c r="R11" s="167"/>
      <c r="S11" s="167"/>
      <c r="T11" s="167"/>
      <c r="U11" s="167"/>
      <c r="V11" s="167"/>
      <c r="W11" s="167"/>
      <c r="X11" s="67"/>
    </row>
    <row r="12" spans="1:24" ht="11.25" customHeight="1" x14ac:dyDescent="0.25">
      <c r="A12" s="407" t="str">
        <f>'Org structure'!A8</f>
        <v>Vote 7 - Electrical Engineering Services</v>
      </c>
      <c r="B12" s="169"/>
      <c r="C12" s="134">
        <f>'C3C'!C72</f>
        <v>459468534.35000002</v>
      </c>
      <c r="D12" s="46">
        <f>'C3C'!D72</f>
        <v>597331000</v>
      </c>
      <c r="E12" s="44">
        <f>'C3C'!E72</f>
        <v>597331000</v>
      </c>
      <c r="F12" s="44">
        <f>'C3C'!F72</f>
        <v>37511115.810000002</v>
      </c>
      <c r="G12" s="44">
        <f>'C3C'!G72</f>
        <v>306007804.49000001</v>
      </c>
      <c r="H12" s="44">
        <f>'C3C'!H72</f>
        <v>282161766.46999997</v>
      </c>
      <c r="I12" s="44">
        <f t="shared" si="0"/>
        <v>23846038.020000041</v>
      </c>
      <c r="J12" s="716">
        <f t="shared" si="1"/>
        <v>8.4511939084898666E-2</v>
      </c>
      <c r="K12" s="144">
        <f>'C3C'!K72</f>
        <v>597331000</v>
      </c>
      <c r="L12" s="167"/>
      <c r="M12" s="167"/>
      <c r="N12" s="167"/>
      <c r="O12" s="167"/>
      <c r="P12" s="167"/>
      <c r="Q12" s="167"/>
      <c r="R12" s="167"/>
      <c r="S12" s="167"/>
      <c r="T12" s="167"/>
      <c r="U12" s="167"/>
      <c r="V12" s="167"/>
      <c r="W12" s="167"/>
      <c r="X12" s="67"/>
    </row>
    <row r="13" spans="1:24" ht="11.25" customHeight="1" x14ac:dyDescent="0.25">
      <c r="A13" s="407" t="str">
        <f>'Org structure'!A9</f>
        <v>Vote 8 - Engineering Services</v>
      </c>
      <c r="B13" s="169"/>
      <c r="C13" s="134">
        <f>'C3C'!C83</f>
        <v>78874915.329999998</v>
      </c>
      <c r="D13" s="46">
        <f>'C3C'!D83</f>
        <v>96724325</v>
      </c>
      <c r="E13" s="44">
        <f>'C3C'!E83</f>
        <v>96724325</v>
      </c>
      <c r="F13" s="44">
        <f>'C3C'!F83</f>
        <v>148583.09</v>
      </c>
      <c r="G13" s="44">
        <f>'C3C'!G83</f>
        <v>64714925.490000002</v>
      </c>
      <c r="H13" s="44">
        <f>'C3C'!H83</f>
        <v>80023384.769999996</v>
      </c>
      <c r="I13" s="44">
        <f t="shared" si="0"/>
        <v>-15308459.279999994</v>
      </c>
      <c r="J13" s="716">
        <f t="shared" si="1"/>
        <v>-0.19129982222070402</v>
      </c>
      <c r="K13" s="144">
        <f>'C3C'!K83</f>
        <v>96724325</v>
      </c>
      <c r="L13" s="167"/>
      <c r="M13" s="167"/>
      <c r="N13" s="167"/>
      <c r="O13" s="167"/>
      <c r="P13" s="167"/>
      <c r="Q13" s="167"/>
      <c r="R13" s="167"/>
      <c r="S13" s="167"/>
      <c r="T13" s="167"/>
      <c r="U13" s="167"/>
      <c r="V13" s="167"/>
      <c r="W13" s="167"/>
      <c r="X13" s="67"/>
    </row>
    <row r="14" spans="1:24" ht="11.25" customHeight="1" x14ac:dyDescent="0.25">
      <c r="A14" s="407" t="str">
        <f>'Org structure'!A10</f>
        <v>Vote 9 - GTEDA</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644</v>
      </c>
      <c r="B21" s="233">
        <v>2</v>
      </c>
      <c r="C21" s="145">
        <f>SUM(C6:C20)</f>
        <v>1135353415.29</v>
      </c>
      <c r="D21" s="74">
        <f t="shared" ref="D21:I21" si="2">SUM(D6:D20)</f>
        <v>1359176307</v>
      </c>
      <c r="E21" s="73">
        <f t="shared" si="2"/>
        <v>1359176307</v>
      </c>
      <c r="F21" s="73">
        <f t="shared" si="2"/>
        <v>187292374.67000002</v>
      </c>
      <c r="G21" s="73">
        <f t="shared" si="2"/>
        <v>796670404.41000009</v>
      </c>
      <c r="H21" s="73">
        <f t="shared" si="2"/>
        <v>741172551.39999986</v>
      </c>
      <c r="I21" s="73">
        <f t="shared" si="2"/>
        <v>55497853.010000058</v>
      </c>
      <c r="J21" s="717">
        <f t="shared" si="1"/>
        <v>7.4878451590213696E-2</v>
      </c>
      <c r="K21" s="145">
        <f>SUM(K6:K20)</f>
        <v>1359176307</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761</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Municipal Manager</v>
      </c>
      <c r="B24" s="169"/>
      <c r="C24" s="134">
        <f>'C3C'!C174</f>
        <v>73412075.829999983</v>
      </c>
      <c r="D24" s="46">
        <f>'C3C'!D174</f>
        <v>75195251</v>
      </c>
      <c r="E24" s="44">
        <f>'C3C'!E174</f>
        <v>75195251</v>
      </c>
      <c r="F24" s="44">
        <f>'C3C'!F174</f>
        <v>8075345.1700000009</v>
      </c>
      <c r="G24" s="44">
        <f>'C3C'!G174</f>
        <v>42431799.759999998</v>
      </c>
      <c r="H24" s="44">
        <f>'C3C'!H174</f>
        <v>37639725.490000002</v>
      </c>
      <c r="I24" s="44">
        <f t="shared" ref="I24:I38" si="3">G24-H24</f>
        <v>4792074.2699999958</v>
      </c>
      <c r="J24" s="716">
        <f t="shared" ref="J24:J29" si="4">IF(I24=0,"",I24/H24)</f>
        <v>0.1273142725568798</v>
      </c>
      <c r="K24" s="144">
        <f>'C3C'!K174</f>
        <v>75195251</v>
      </c>
      <c r="L24" s="97"/>
      <c r="M24" s="84"/>
      <c r="N24" s="84"/>
      <c r="O24" s="84"/>
      <c r="P24" s="84"/>
      <c r="Q24" s="84"/>
      <c r="R24" s="84"/>
      <c r="S24" s="84"/>
      <c r="T24" s="84"/>
      <c r="U24" s="84"/>
      <c r="V24" s="84"/>
      <c r="W24" s="84"/>
      <c r="X24" s="67"/>
    </row>
    <row r="25" spans="1:24" ht="12.75" customHeight="1" x14ac:dyDescent="0.25">
      <c r="A25" s="39" t="str">
        <f>'Org structure'!A3</f>
        <v>Vote 2 - Planning &amp; Economic Development</v>
      </c>
      <c r="B25" s="169"/>
      <c r="C25" s="134">
        <f>'C3C'!C185</f>
        <v>30432373.350000005</v>
      </c>
      <c r="D25" s="46">
        <f>'C3C'!D185</f>
        <v>31408863</v>
      </c>
      <c r="E25" s="44">
        <f>'C3C'!E185</f>
        <v>31408863</v>
      </c>
      <c r="F25" s="44">
        <f>'C3C'!F185</f>
        <v>2811006.4099999992</v>
      </c>
      <c r="G25" s="44">
        <f>'C3C'!G185</f>
        <v>15233676.42</v>
      </c>
      <c r="H25" s="44">
        <f>'C3C'!H185</f>
        <v>14188029.639999999</v>
      </c>
      <c r="I25" s="44">
        <f t="shared" si="3"/>
        <v>1045646.7800000012</v>
      </c>
      <c r="J25" s="716">
        <f t="shared" si="4"/>
        <v>7.3699224383633397E-2</v>
      </c>
      <c r="K25" s="144">
        <f>'C3C'!K185</f>
        <v>31408863</v>
      </c>
      <c r="L25" s="97"/>
      <c r="M25" s="97"/>
      <c r="N25" s="97"/>
      <c r="O25" s="97"/>
      <c r="P25" s="97"/>
      <c r="Q25" s="97"/>
      <c r="R25" s="97"/>
      <c r="S25" s="97"/>
      <c r="T25" s="97"/>
      <c r="U25" s="97"/>
      <c r="V25" s="97"/>
      <c r="W25" s="97"/>
      <c r="X25" s="67"/>
    </row>
    <row r="26" spans="1:24" ht="12.75" customHeight="1" x14ac:dyDescent="0.25">
      <c r="A26" s="39" t="str">
        <f>'Org structure'!A4</f>
        <v>Vote 3 - Financial Services</v>
      </c>
      <c r="B26" s="169"/>
      <c r="C26" s="134">
        <f>'C3C'!C196</f>
        <v>179660473.83999997</v>
      </c>
      <c r="D26" s="46">
        <f>'C3C'!D196</f>
        <v>111690531</v>
      </c>
      <c r="E26" s="44">
        <f>'C3C'!E196</f>
        <v>111690531</v>
      </c>
      <c r="F26" s="44">
        <f>'C3C'!F196</f>
        <v>12975531.700000001</v>
      </c>
      <c r="G26" s="44">
        <f>'C3C'!G196</f>
        <v>43159208.580000006</v>
      </c>
      <c r="H26" s="44">
        <f>'C3C'!H196</f>
        <v>38397201.969999999</v>
      </c>
      <c r="I26" s="44">
        <f t="shared" si="3"/>
        <v>4762006.6100000069</v>
      </c>
      <c r="J26" s="716">
        <f t="shared" si="4"/>
        <v>0.12401962553731379</v>
      </c>
      <c r="K26" s="144">
        <f>'C3C'!K196</f>
        <v>111690531</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49685045.039999992</v>
      </c>
      <c r="D27" s="46">
        <f>'C3C'!D207</f>
        <v>63300012.329999998</v>
      </c>
      <c r="E27" s="44">
        <f>'C3C'!E207</f>
        <v>63300012.329999998</v>
      </c>
      <c r="F27" s="44">
        <f>'C3C'!F207</f>
        <v>4252105.93</v>
      </c>
      <c r="G27" s="44">
        <f>'C3C'!G207</f>
        <v>28100041.970000006</v>
      </c>
      <c r="H27" s="44">
        <f>'C3C'!H207</f>
        <v>24956975.990000002</v>
      </c>
      <c r="I27" s="44">
        <f t="shared" si="3"/>
        <v>3143065.9800000042</v>
      </c>
      <c r="J27" s="716">
        <f t="shared" si="4"/>
        <v>0.12593937587868809</v>
      </c>
      <c r="K27" s="144">
        <f>'C3C'!K207</f>
        <v>63300012.329999998</v>
      </c>
      <c r="L27" s="97"/>
      <c r="M27" s="97"/>
      <c r="N27" s="97"/>
      <c r="O27" s="97"/>
      <c r="P27" s="97"/>
      <c r="Q27" s="97"/>
      <c r="R27" s="97"/>
      <c r="S27" s="97"/>
      <c r="T27" s="97"/>
      <c r="U27" s="97"/>
      <c r="V27" s="97"/>
      <c r="W27" s="97"/>
      <c r="X27" s="67"/>
    </row>
    <row r="28" spans="1:24" ht="12.75" customHeight="1" x14ac:dyDescent="0.25">
      <c r="A28" s="39" t="str">
        <f>'Org structure'!A6</f>
        <v>Vote 5 - Community Services</v>
      </c>
      <c r="B28" s="169"/>
      <c r="C28" s="134">
        <f>'C3C'!C218</f>
        <v>138014682.60000002</v>
      </c>
      <c r="D28" s="46">
        <f>'C3C'!D218</f>
        <v>139371924.92000002</v>
      </c>
      <c r="E28" s="44">
        <f>'C3C'!E218</f>
        <v>139371924.92000002</v>
      </c>
      <c r="F28" s="44">
        <f>'C3C'!F218</f>
        <v>9005898.3600000013</v>
      </c>
      <c r="G28" s="44">
        <f>'C3C'!G218</f>
        <v>57499583.930000007</v>
      </c>
      <c r="H28" s="44">
        <f>'C3C'!H218</f>
        <v>53266458.259999998</v>
      </c>
      <c r="I28" s="44">
        <f t="shared" si="3"/>
        <v>4233125.6700000092</v>
      </c>
      <c r="J28" s="716">
        <f t="shared" si="4"/>
        <v>7.9470755298533521E-2</v>
      </c>
      <c r="K28" s="144">
        <f>'C3C'!K218</f>
        <v>139371924.92000002</v>
      </c>
      <c r="L28" s="97"/>
      <c r="M28" s="97"/>
      <c r="N28" s="97"/>
      <c r="O28" s="97"/>
      <c r="P28" s="97"/>
      <c r="Q28" s="97"/>
      <c r="R28" s="97"/>
      <c r="S28" s="97"/>
      <c r="T28" s="97"/>
      <c r="U28" s="97"/>
      <c r="V28" s="97"/>
      <c r="W28" s="97"/>
      <c r="X28" s="67"/>
    </row>
    <row r="29" spans="1:24" ht="12.75" customHeight="1" x14ac:dyDescent="0.25">
      <c r="A29" s="39" t="str">
        <f>'Org structure'!A7</f>
        <v>Vote 6 - Community Services</v>
      </c>
      <c r="B29" s="169"/>
      <c r="C29" s="134">
        <f>'C3C'!C229</f>
        <v>53110645.079999998</v>
      </c>
      <c r="D29" s="46">
        <f>'C3C'!D229</f>
        <v>120429445</v>
      </c>
      <c r="E29" s="44">
        <f>'C3C'!E229</f>
        <v>120429445</v>
      </c>
      <c r="F29" s="44">
        <f>'C3C'!F229</f>
        <v>9147809.4899999984</v>
      </c>
      <c r="G29" s="44">
        <f>'C3C'!G229</f>
        <v>55525851.559999995</v>
      </c>
      <c r="H29" s="44">
        <f>'C3C'!H229</f>
        <v>45215153.089999996</v>
      </c>
      <c r="I29" s="44">
        <f t="shared" si="3"/>
        <v>10310698.469999999</v>
      </c>
      <c r="J29" s="716">
        <f t="shared" si="4"/>
        <v>0.22803634988201252</v>
      </c>
      <c r="K29" s="144">
        <f>'C3C'!K229</f>
        <v>120429445</v>
      </c>
      <c r="L29" s="97"/>
      <c r="M29" s="97"/>
      <c r="N29" s="97"/>
      <c r="O29" s="97"/>
      <c r="P29" s="97"/>
      <c r="Q29" s="97"/>
      <c r="R29" s="97"/>
      <c r="S29" s="97"/>
      <c r="T29" s="97"/>
      <c r="U29" s="97"/>
      <c r="V29" s="97"/>
      <c r="W29" s="97"/>
      <c r="X29" s="67"/>
    </row>
    <row r="30" spans="1:24" ht="11.25" customHeight="1" x14ac:dyDescent="0.25">
      <c r="A30" s="39" t="str">
        <f>'Org structure'!A8</f>
        <v>Vote 7 - Electrical Engineering Services</v>
      </c>
      <c r="B30" s="169"/>
      <c r="C30" s="134">
        <f>'C3C'!C240</f>
        <v>515290068.2900002</v>
      </c>
      <c r="D30" s="46">
        <f>'C3C'!D240</f>
        <v>591014579</v>
      </c>
      <c r="E30" s="44">
        <f>'C3C'!E240</f>
        <v>591014579</v>
      </c>
      <c r="F30" s="44">
        <f>'C3C'!F240</f>
        <v>96044811.899999991</v>
      </c>
      <c r="G30" s="44">
        <f>'C3C'!G240</f>
        <v>225936525.90000004</v>
      </c>
      <c r="H30" s="44">
        <f>'C3C'!H240</f>
        <v>192117754.57999998</v>
      </c>
      <c r="I30" s="44">
        <f t="shared" si="3"/>
        <v>33818771.320000052</v>
      </c>
      <c r="J30" s="716">
        <f t="shared" ref="J30:J38" si="5">IF(I30=0,"",I30/H30)</f>
        <v>0.17603147295747482</v>
      </c>
      <c r="K30" s="144">
        <f>'C3C'!K240</f>
        <v>591014579</v>
      </c>
      <c r="L30" s="97"/>
      <c r="M30" s="97"/>
      <c r="N30" s="97"/>
      <c r="O30" s="97"/>
      <c r="P30" s="97"/>
      <c r="Q30" s="97"/>
      <c r="R30" s="97"/>
      <c r="S30" s="97"/>
      <c r="T30" s="97"/>
      <c r="U30" s="97"/>
      <c r="V30" s="97"/>
      <c r="W30" s="97"/>
      <c r="X30" s="67"/>
    </row>
    <row r="31" spans="1:24" ht="11.25" customHeight="1" x14ac:dyDescent="0.25">
      <c r="A31" s="39" t="str">
        <f>'Org structure'!A9</f>
        <v>Vote 8 - Engineering Services</v>
      </c>
      <c r="B31" s="169"/>
      <c r="C31" s="134">
        <f>'C3C'!C251</f>
        <v>172739309.49000001</v>
      </c>
      <c r="D31" s="46">
        <f>'C3C'!D251</f>
        <v>181486372.71000001</v>
      </c>
      <c r="E31" s="44">
        <f>'C3C'!E251</f>
        <v>181486372.71000001</v>
      </c>
      <c r="F31" s="44">
        <f>'C3C'!F251</f>
        <v>6551018.080000001</v>
      </c>
      <c r="G31" s="44">
        <f>'C3C'!G251</f>
        <v>36355839.019999996</v>
      </c>
      <c r="H31" s="44">
        <f>'C3C'!H251</f>
        <v>38658896.700000003</v>
      </c>
      <c r="I31" s="44">
        <f t="shared" si="3"/>
        <v>-2303057.6800000072</v>
      </c>
      <c r="J31" s="716">
        <f t="shared" si="5"/>
        <v>-5.9573807754322354E-2</v>
      </c>
      <c r="K31" s="144">
        <f>'C3C'!K251</f>
        <v>181486372.71000001</v>
      </c>
      <c r="L31" s="97"/>
      <c r="M31" s="97"/>
      <c r="N31" s="97"/>
      <c r="O31" s="97"/>
      <c r="P31" s="97"/>
      <c r="Q31" s="97"/>
      <c r="R31" s="97"/>
      <c r="S31" s="97"/>
      <c r="T31" s="97"/>
      <c r="U31" s="97"/>
      <c r="V31" s="97"/>
      <c r="W31" s="97"/>
      <c r="X31" s="67"/>
    </row>
    <row r="32" spans="1:24" ht="11.25" customHeight="1" x14ac:dyDescent="0.25">
      <c r="A32" s="39" t="str">
        <f>'Org structure'!A10</f>
        <v>Vote 9 - GTEDA</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643</v>
      </c>
      <c r="B39" s="233">
        <v>2</v>
      </c>
      <c r="C39" s="516">
        <f>SUM(C24:C38)</f>
        <v>1212344673.5200002</v>
      </c>
      <c r="D39" s="475">
        <f t="shared" ref="D39:I39" si="6">SUM(D24:D38)</f>
        <v>1313896978.96</v>
      </c>
      <c r="E39" s="430">
        <f t="shared" si="6"/>
        <v>1313896978.96</v>
      </c>
      <c r="F39" s="430">
        <f t="shared" si="6"/>
        <v>148863527.03999999</v>
      </c>
      <c r="G39" s="430">
        <f t="shared" si="6"/>
        <v>504242527.14000005</v>
      </c>
      <c r="H39" s="430">
        <f t="shared" si="6"/>
        <v>444440195.71999997</v>
      </c>
      <c r="I39" s="430">
        <f t="shared" si="6"/>
        <v>59802331.420000061</v>
      </c>
      <c r="J39" s="719">
        <f>IF(I39=0,"",I39/H39)</f>
        <v>0.1345565320056602</v>
      </c>
      <c r="K39" s="513">
        <f>SUM(K24:K38)</f>
        <v>1313896978.96</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-76991258.230000257</v>
      </c>
      <c r="D40" s="56">
        <f t="shared" si="7"/>
        <v>45279328.039999962</v>
      </c>
      <c r="E40" s="55">
        <f t="shared" si="7"/>
        <v>45279328.039999962</v>
      </c>
      <c r="F40" s="55">
        <f t="shared" si="7"/>
        <v>38428847.630000025</v>
      </c>
      <c r="G40" s="55">
        <f t="shared" si="7"/>
        <v>292427877.27000004</v>
      </c>
      <c r="H40" s="55">
        <f t="shared" si="7"/>
        <v>296732355.67999989</v>
      </c>
      <c r="I40" s="55">
        <f>I21-I39</f>
        <v>-4304478.4100000039</v>
      </c>
      <c r="J40" s="720">
        <f>IF(I40=0,"",I40/H40)</f>
        <v>-1.4506265756343777E-2</v>
      </c>
      <c r="K40" s="235">
        <f>K21-K39</f>
        <v>45279328.039999962</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725</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5"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47" activePane="bottomRight" state="frozen"/>
      <selection pane="topRight"/>
      <selection pane="bottomLeft"/>
      <selection pane="bottomRight" activeCell="H89" sqref="H89:H90"/>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LIM333 Greater Tzaneen - Table C3 Consolidated Monthly Budget Statement - Financial Performance (revenue and expenditure by municipal vote)  - A - M06 December</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439" t="s">
        <v>760</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Municipal Manager</v>
      </c>
      <c r="B6" s="440"/>
      <c r="C6" s="503">
        <f>SUM(C7:C16)</f>
        <v>0</v>
      </c>
      <c r="D6" s="444">
        <f t="shared" ref="D6:K6" si="0">SUM(D7:D16)</f>
        <v>1229</v>
      </c>
      <c r="E6" s="441">
        <f t="shared" si="0"/>
        <v>1229</v>
      </c>
      <c r="F6" s="443">
        <f t="shared" si="0"/>
        <v>0</v>
      </c>
      <c r="G6" s="441">
        <f t="shared" si="0"/>
        <v>0</v>
      </c>
      <c r="H6" s="443">
        <f t="shared" si="0"/>
        <v>0</v>
      </c>
      <c r="I6" s="44">
        <f t="shared" ref="I6:I69" si="1">G6-H6</f>
        <v>0</v>
      </c>
      <c r="J6" s="330" t="str">
        <f t="shared" ref="J6:J69" si="2">IF(I6=0,"",I6/H6)</f>
        <v/>
      </c>
      <c r="K6" s="442">
        <f t="shared" si="0"/>
        <v>1229</v>
      </c>
      <c r="L6" s="424"/>
      <c r="M6" s="38"/>
      <c r="N6" s="38"/>
      <c r="O6" s="38"/>
      <c r="P6" s="38"/>
      <c r="Q6" s="38"/>
      <c r="R6" s="38"/>
      <c r="S6" s="38"/>
      <c r="T6" s="38"/>
      <c r="U6" s="38"/>
      <c r="V6" s="38"/>
      <c r="W6" s="38"/>
    </row>
    <row r="7" spans="1:23" ht="11.25" customHeight="1" x14ac:dyDescent="0.25">
      <c r="A7" s="407" t="str">
        <f>'Org structure'!E3</f>
        <v>1.1 - Administration Municipal Manager</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Internal Audit</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structure'!E5</f>
        <v>1.4 - Strategic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1.5 - Risk Management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structure'!E7</f>
        <v>1.6 - Legal Services</v>
      </c>
      <c r="B11" s="445"/>
      <c r="C11" s="740"/>
      <c r="D11" s="741">
        <v>129</v>
      </c>
      <c r="E11" s="741">
        <v>129</v>
      </c>
      <c r="F11" s="743"/>
      <c r="G11" s="742"/>
      <c r="H11" s="743"/>
      <c r="I11" s="44">
        <f t="shared" si="1"/>
        <v>0</v>
      </c>
      <c r="J11" s="330" t="str">
        <f t="shared" si="2"/>
        <v/>
      </c>
      <c r="K11" s="744">
        <v>129</v>
      </c>
      <c r="L11" s="424"/>
      <c r="M11" s="38"/>
      <c r="N11" s="38"/>
      <c r="O11" s="38"/>
      <c r="P11" s="38"/>
      <c r="Q11" s="38"/>
      <c r="R11" s="38"/>
      <c r="S11" s="38"/>
      <c r="T11" s="38"/>
      <c r="U11" s="38"/>
      <c r="V11" s="38"/>
      <c r="W11" s="38"/>
    </row>
    <row r="12" spans="1:23" ht="11.25" customHeight="1" x14ac:dyDescent="0.25">
      <c r="A12" s="407" t="str">
        <f>'Org structure'!E8</f>
        <v>1.3 - Disaster Management</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structure'!E9</f>
        <v>1.7 - Council Expenditure</v>
      </c>
      <c r="B13" s="445"/>
      <c r="C13" s="740"/>
      <c r="D13" s="741">
        <v>1100</v>
      </c>
      <c r="E13" s="742">
        <v>1100</v>
      </c>
      <c r="F13" s="743"/>
      <c r="G13" s="742"/>
      <c r="H13" s="743"/>
      <c r="I13" s="44">
        <f t="shared" si="1"/>
        <v>0</v>
      </c>
      <c r="J13" s="330" t="str">
        <f t="shared" si="2"/>
        <v/>
      </c>
      <c r="K13" s="744">
        <v>1100</v>
      </c>
      <c r="L13" s="424"/>
      <c r="M13" s="38"/>
      <c r="N13" s="38"/>
      <c r="O13" s="38"/>
      <c r="P13" s="38"/>
      <c r="Q13" s="38"/>
      <c r="R13" s="38"/>
      <c r="S13" s="38"/>
      <c r="T13" s="38"/>
      <c r="U13" s="38"/>
      <c r="V13" s="38"/>
      <c r="W13" s="38"/>
    </row>
    <row r="14" spans="1:23" ht="11.25"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Planning &amp; Economic Development</v>
      </c>
      <c r="B17" s="440"/>
      <c r="C17" s="503">
        <f>SUM(C18:C27)</f>
        <v>233505</v>
      </c>
      <c r="D17" s="444">
        <f t="shared" ref="D17:K17" si="3">SUM(D18:D27)</f>
        <v>300125</v>
      </c>
      <c r="E17" s="441">
        <f t="shared" si="3"/>
        <v>300125</v>
      </c>
      <c r="F17" s="443">
        <f t="shared" si="3"/>
        <v>15612.24</v>
      </c>
      <c r="G17" s="441">
        <f t="shared" si="3"/>
        <v>145347.24</v>
      </c>
      <c r="H17" s="443">
        <f t="shared" si="3"/>
        <v>128350</v>
      </c>
      <c r="I17" s="44">
        <f t="shared" si="1"/>
        <v>16997.239999999991</v>
      </c>
      <c r="J17" s="330">
        <f t="shared" si="2"/>
        <v>0.13242882742500967</v>
      </c>
      <c r="K17" s="442">
        <f t="shared" si="3"/>
        <v>300125</v>
      </c>
      <c r="L17" s="424"/>
      <c r="M17" s="38"/>
      <c r="N17" s="38"/>
      <c r="O17" s="38"/>
      <c r="P17" s="38"/>
      <c r="Q17" s="38"/>
      <c r="R17" s="38"/>
      <c r="S17" s="38"/>
      <c r="T17" s="38"/>
      <c r="U17" s="38"/>
      <c r="V17" s="38"/>
      <c r="W17" s="38"/>
    </row>
    <row r="18" spans="1:23" ht="11.25" customHeight="1" x14ac:dyDescent="0.25">
      <c r="A18" s="407" t="str">
        <f>'Org structure'!E14</f>
        <v>2.1 - Administration Strategy &amp; Development</v>
      </c>
      <c r="B18" s="445"/>
      <c r="C18" s="740"/>
      <c r="D18" s="741"/>
      <c r="E18" s="742"/>
      <c r="F18" s="743"/>
      <c r="G18" s="742"/>
      <c r="H18" s="743"/>
      <c r="I18" s="44">
        <f t="shared" si="1"/>
        <v>0</v>
      </c>
      <c r="J18" s="330" t="str">
        <f t="shared" si="2"/>
        <v/>
      </c>
      <c r="K18" s="744"/>
      <c r="L18" s="424"/>
      <c r="M18" s="38"/>
      <c r="N18" s="38"/>
      <c r="O18" s="38"/>
      <c r="P18" s="38"/>
      <c r="Q18" s="38"/>
      <c r="R18" s="38"/>
      <c r="S18" s="38"/>
      <c r="T18" s="38"/>
      <c r="U18" s="38"/>
      <c r="V18" s="38"/>
      <c r="W18" s="38"/>
    </row>
    <row r="19" spans="1:23" ht="11.25" customHeight="1" x14ac:dyDescent="0.25">
      <c r="A19" s="407" t="str">
        <f>'Org structure'!E15</f>
        <v>2.2 - Local Economic Development</v>
      </c>
      <c r="B19" s="445"/>
      <c r="C19" s="740"/>
      <c r="D19" s="741">
        <v>100125</v>
      </c>
      <c r="E19" s="741">
        <v>100125</v>
      </c>
      <c r="F19" s="743"/>
      <c r="G19" s="742">
        <v>1360</v>
      </c>
      <c r="H19" s="743"/>
      <c r="I19" s="44">
        <f t="shared" si="1"/>
        <v>1360</v>
      </c>
      <c r="J19" s="330" t="e">
        <f t="shared" si="2"/>
        <v>#DIV/0!</v>
      </c>
      <c r="K19" s="744">
        <v>100125</v>
      </c>
      <c r="L19" s="424"/>
      <c r="M19" s="38"/>
      <c r="N19" s="38"/>
      <c r="O19" s="38"/>
      <c r="P19" s="38"/>
      <c r="Q19" s="38"/>
      <c r="R19" s="38"/>
      <c r="S19" s="38"/>
      <c r="T19" s="38"/>
      <c r="U19" s="38"/>
      <c r="V19" s="38"/>
      <c r="W19" s="38"/>
    </row>
    <row r="20" spans="1:23" ht="11.25" customHeight="1" x14ac:dyDescent="0.25">
      <c r="A20" s="407" t="str">
        <f>'Org structure'!E16</f>
        <v>2.3 - Town &amp; Regional Planning</v>
      </c>
      <c r="B20" s="445"/>
      <c r="C20" s="740">
        <v>233505</v>
      </c>
      <c r="D20" s="741">
        <v>200000</v>
      </c>
      <c r="E20" s="741">
        <v>200000</v>
      </c>
      <c r="F20" s="743">
        <v>15612.24</v>
      </c>
      <c r="G20" s="742">
        <v>143987.24</v>
      </c>
      <c r="H20" s="743">
        <v>128350</v>
      </c>
      <c r="I20" s="44">
        <f t="shared" si="1"/>
        <v>15637.239999999991</v>
      </c>
      <c r="J20" s="330">
        <f t="shared" si="2"/>
        <v>0.12183280093494345</v>
      </c>
      <c r="K20" s="744">
        <v>200000</v>
      </c>
      <c r="L20" s="424"/>
      <c r="M20" s="38"/>
      <c r="N20" s="38"/>
      <c r="O20" s="38"/>
      <c r="P20" s="38"/>
      <c r="Q20" s="38"/>
      <c r="R20" s="38"/>
      <c r="S20" s="38"/>
      <c r="T20" s="38"/>
      <c r="U20" s="38"/>
      <c r="V20" s="38"/>
      <c r="W20" s="38"/>
    </row>
    <row r="21" spans="1:23" ht="11.25" customHeight="1" x14ac:dyDescent="0.25">
      <c r="A21" s="407" t="str">
        <f>'Org structure'!E17</f>
        <v>2.4 - Housing Administration</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structure'!E18</f>
        <v>2.5 - SATELITE OFFICE: NKOWANKOWA</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structure'!E19</f>
        <v>2.6 - SATELITE OFFICE: LENYENYE</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structure'!E20</f>
        <v>2.7 - SATELITE OFFICE: LETSITELE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Financial Services</v>
      </c>
      <c r="B28" s="440"/>
      <c r="C28" s="503">
        <f t="shared" ref="C28:K28" si="4">SUM(C29:C38)</f>
        <v>510246958.14000005</v>
      </c>
      <c r="D28" s="444">
        <f t="shared" si="4"/>
        <v>510036650</v>
      </c>
      <c r="E28" s="441">
        <f t="shared" si="4"/>
        <v>510036650</v>
      </c>
      <c r="F28" s="443">
        <f t="shared" si="4"/>
        <v>140822089.40000001</v>
      </c>
      <c r="G28" s="441">
        <f t="shared" si="4"/>
        <v>369723237.61000001</v>
      </c>
      <c r="H28" s="443">
        <f t="shared" si="4"/>
        <v>327657257.44</v>
      </c>
      <c r="I28" s="44">
        <f t="shared" si="1"/>
        <v>42065980.170000017</v>
      </c>
      <c r="J28" s="330">
        <f t="shared" si="2"/>
        <v>0.12838409409473575</v>
      </c>
      <c r="K28" s="442">
        <f t="shared" si="4"/>
        <v>510036650</v>
      </c>
      <c r="L28" s="424"/>
      <c r="M28" s="38"/>
      <c r="N28" s="38"/>
      <c r="O28" s="38"/>
      <c r="P28" s="38"/>
      <c r="Q28" s="38"/>
      <c r="R28" s="38"/>
      <c r="S28" s="38"/>
      <c r="T28" s="38"/>
      <c r="U28" s="38"/>
      <c r="V28" s="38"/>
      <c r="W28" s="38"/>
    </row>
    <row r="29" spans="1:23" ht="11.25" customHeight="1" x14ac:dyDescent="0.25">
      <c r="A29" s="407" t="str">
        <f>'Org structure'!E25</f>
        <v>3.1 - Administration Finance</v>
      </c>
      <c r="B29" s="445"/>
      <c r="C29" s="740">
        <v>128184872.56999999</v>
      </c>
      <c r="D29" s="741">
        <v>108745550</v>
      </c>
      <c r="E29" s="741">
        <v>108745550</v>
      </c>
      <c r="F29" s="743">
        <v>9499931.5099999998</v>
      </c>
      <c r="G29" s="742">
        <v>57069840.990000002</v>
      </c>
      <c r="H29" s="742">
        <v>54591497.990000002</v>
      </c>
      <c r="I29" s="258">
        <f t="shared" si="1"/>
        <v>2478343</v>
      </c>
      <c r="J29" s="330">
        <f t="shared" si="2"/>
        <v>4.5397966556147251E-2</v>
      </c>
      <c r="K29" s="744">
        <v>108745550</v>
      </c>
      <c r="L29" s="424"/>
      <c r="M29" s="38"/>
      <c r="N29" s="38"/>
      <c r="O29" s="38"/>
      <c r="P29" s="38"/>
      <c r="Q29" s="38"/>
      <c r="R29" s="38"/>
      <c r="S29" s="38"/>
      <c r="T29" s="38"/>
      <c r="U29" s="38"/>
      <c r="V29" s="38"/>
      <c r="W29" s="38"/>
    </row>
    <row r="30" spans="1:23" ht="11.25" customHeight="1" x14ac:dyDescent="0.25">
      <c r="A30" s="407" t="str">
        <f>'Org structure'!E26</f>
        <v>3.2 - Budget office</v>
      </c>
      <c r="B30" s="445"/>
      <c r="C30" s="740">
        <v>11760814.02</v>
      </c>
      <c r="D30" s="741">
        <v>6946000</v>
      </c>
      <c r="E30" s="741">
        <v>6946000</v>
      </c>
      <c r="F30" s="743">
        <v>207711.31</v>
      </c>
      <c r="G30" s="742">
        <v>4259063.8899999997</v>
      </c>
      <c r="H30" s="743">
        <v>2631410.0699999998</v>
      </c>
      <c r="I30" s="44">
        <f t="shared" si="1"/>
        <v>1627653.8199999998</v>
      </c>
      <c r="J30" s="330">
        <f t="shared" si="2"/>
        <v>0.61854814593758844</v>
      </c>
      <c r="K30" s="744">
        <v>6946000</v>
      </c>
      <c r="L30" s="424"/>
      <c r="M30" s="38"/>
      <c r="N30" s="38"/>
      <c r="O30" s="38"/>
      <c r="P30" s="38"/>
      <c r="Q30" s="38"/>
      <c r="R30" s="38"/>
      <c r="S30" s="38"/>
      <c r="T30" s="38"/>
      <c r="U30" s="38"/>
      <c r="V30" s="38"/>
      <c r="W30" s="38"/>
    </row>
    <row r="31" spans="1:23" ht="11.25" customHeight="1" x14ac:dyDescent="0.25">
      <c r="A31" s="407" t="str">
        <f>'Org structure'!E27</f>
        <v>3.3 - Revenue</v>
      </c>
      <c r="B31" s="445"/>
      <c r="C31" s="740">
        <v>372502879</v>
      </c>
      <c r="D31" s="741">
        <v>391845100</v>
      </c>
      <c r="E31" s="741">
        <v>391845100</v>
      </c>
      <c r="F31" s="743">
        <v>131114446.58</v>
      </c>
      <c r="G31" s="742">
        <v>308394332.73000002</v>
      </c>
      <c r="H31" s="743">
        <v>270434349.38</v>
      </c>
      <c r="I31" s="44">
        <f t="shared" si="1"/>
        <v>37959983.350000024</v>
      </c>
      <c r="J31" s="330">
        <f t="shared" si="2"/>
        <v>0.14036672278143436</v>
      </c>
      <c r="K31" s="744">
        <v>391845100</v>
      </c>
      <c r="L31" s="424"/>
      <c r="M31" s="38"/>
      <c r="N31" s="38"/>
      <c r="O31" s="38"/>
      <c r="P31" s="38"/>
      <c r="Q31" s="38"/>
      <c r="R31" s="38"/>
      <c r="S31" s="38"/>
      <c r="T31" s="38"/>
      <c r="U31" s="38"/>
      <c r="V31" s="38"/>
      <c r="W31" s="38"/>
    </row>
    <row r="32" spans="1:23" ht="11.25" customHeight="1" x14ac:dyDescent="0.25">
      <c r="A32" s="407" t="str">
        <f>'Org structure'!E28</f>
        <v>3.4 - Expenditure</v>
      </c>
      <c r="B32" s="445"/>
      <c r="C32" s="740"/>
      <c r="D32" s="741"/>
      <c r="E32" s="741"/>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structure'!E29</f>
        <v>3.5 - Inventory</v>
      </c>
      <c r="B33" s="445"/>
      <c r="C33" s="740">
        <v>-2201607.4500000002</v>
      </c>
      <c r="D33" s="741">
        <v>2500000</v>
      </c>
      <c r="E33" s="741">
        <v>2500000</v>
      </c>
      <c r="F33" s="743"/>
      <c r="G33" s="742"/>
      <c r="H33" s="743"/>
      <c r="I33" s="44">
        <f t="shared" si="1"/>
        <v>0</v>
      </c>
      <c r="J33" s="330" t="str">
        <f t="shared" si="2"/>
        <v/>
      </c>
      <c r="K33" s="744">
        <v>2500000</v>
      </c>
      <c r="L33" s="424"/>
      <c r="M33" s="38"/>
      <c r="N33" s="38"/>
      <c r="O33" s="38"/>
      <c r="P33" s="38"/>
      <c r="Q33" s="38"/>
      <c r="R33" s="38"/>
      <c r="S33" s="38"/>
      <c r="T33" s="38"/>
      <c r="U33" s="38"/>
      <c r="V33" s="38"/>
      <c r="W33" s="38"/>
    </row>
    <row r="34" spans="1:23" ht="11.25" customHeight="1" x14ac:dyDescent="0.25">
      <c r="A34" s="407" t="str">
        <f>'Org structure'!E30</f>
        <v>3.6 - Supply Chain Management</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747390.57</v>
      </c>
      <c r="D39" s="444">
        <f t="shared" si="5"/>
        <v>128</v>
      </c>
      <c r="E39" s="441">
        <f t="shared" si="5"/>
        <v>128</v>
      </c>
      <c r="F39" s="443">
        <f t="shared" si="5"/>
        <v>0</v>
      </c>
      <c r="G39" s="441">
        <f t="shared" si="5"/>
        <v>0</v>
      </c>
      <c r="H39" s="443">
        <f t="shared" si="5"/>
        <v>50312.84</v>
      </c>
      <c r="I39" s="44">
        <f t="shared" si="1"/>
        <v>-50312.84</v>
      </c>
      <c r="J39" s="330">
        <f t="shared" si="2"/>
        <v>-1</v>
      </c>
      <c r="K39" s="442">
        <f t="shared" si="5"/>
        <v>128</v>
      </c>
      <c r="L39" s="424"/>
      <c r="M39" s="38"/>
      <c r="N39" s="38"/>
      <c r="O39" s="38"/>
      <c r="P39" s="38"/>
      <c r="Q39" s="38"/>
      <c r="R39" s="38"/>
      <c r="S39" s="38"/>
      <c r="T39" s="38"/>
      <c r="U39" s="38"/>
      <c r="V39" s="38"/>
      <c r="W39" s="38"/>
    </row>
    <row r="40" spans="1:23" ht="11.25" customHeight="1" x14ac:dyDescent="0.25">
      <c r="A40" s="407" t="str">
        <f>'Org structure'!E36</f>
        <v>4.1 - Communications</v>
      </c>
      <c r="B40" s="445"/>
      <c r="C40" s="740"/>
      <c r="D40" s="741"/>
      <c r="E40" s="742"/>
      <c r="F40" s="743"/>
      <c r="G40" s="742"/>
      <c r="H40" s="743"/>
      <c r="I40" s="44">
        <f t="shared" si="1"/>
        <v>0</v>
      </c>
      <c r="J40" s="330" t="str">
        <f t="shared" si="2"/>
        <v/>
      </c>
      <c r="K40" s="744"/>
      <c r="L40" s="424"/>
      <c r="M40" s="38"/>
      <c r="N40" s="38"/>
      <c r="O40" s="38"/>
      <c r="P40" s="38"/>
      <c r="Q40" s="38"/>
      <c r="R40" s="38"/>
      <c r="S40" s="38"/>
      <c r="T40" s="38"/>
      <c r="U40" s="38"/>
      <c r="V40" s="38"/>
      <c r="W40" s="38"/>
    </row>
    <row r="41" spans="1:23" ht="11.25" customHeight="1" x14ac:dyDescent="0.25">
      <c r="A41" s="407" t="str">
        <f>'Org structure'!E37</f>
        <v>4.2 - Public Participation &amp; Project Support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structure'!E38</f>
        <v>4.3 - Information Technology</v>
      </c>
      <c r="B42" s="445"/>
      <c r="C42" s="740">
        <v>110986.5</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structure'!E39</f>
        <v>4.4 - Administration HR &amp; Corporate</v>
      </c>
      <c r="B43" s="445"/>
      <c r="C43" s="740"/>
      <c r="D43" s="741">
        <v>25</v>
      </c>
      <c r="E43" s="741">
        <v>25</v>
      </c>
      <c r="F43" s="743"/>
      <c r="G43" s="742"/>
      <c r="H43" s="743"/>
      <c r="I43" s="44">
        <f t="shared" si="1"/>
        <v>0</v>
      </c>
      <c r="J43" s="330" t="str">
        <f t="shared" si="2"/>
        <v/>
      </c>
      <c r="K43" s="744">
        <v>25</v>
      </c>
      <c r="L43" s="424"/>
      <c r="M43" s="38"/>
      <c r="N43" s="38"/>
      <c r="O43" s="38"/>
      <c r="P43" s="38"/>
      <c r="Q43" s="38"/>
      <c r="R43" s="38"/>
      <c r="S43" s="38"/>
      <c r="T43" s="38"/>
      <c r="U43" s="38"/>
      <c r="V43" s="38"/>
      <c r="W43" s="38"/>
    </row>
    <row r="44" spans="1:23" ht="11.25" customHeight="1" x14ac:dyDescent="0.25">
      <c r="A44" s="407" t="str">
        <f>'Org structure'!E40</f>
        <v>4.5 - Human Resources</v>
      </c>
      <c r="B44" s="445"/>
      <c r="C44" s="740">
        <v>636404.06999999995</v>
      </c>
      <c r="D44" s="741"/>
      <c r="E44" s="741"/>
      <c r="F44" s="743"/>
      <c r="G44" s="742"/>
      <c r="H44" s="743">
        <v>50312.84</v>
      </c>
      <c r="I44" s="44">
        <f t="shared" si="1"/>
        <v>-50312.84</v>
      </c>
      <c r="J44" s="330">
        <f t="shared" si="2"/>
        <v>-1</v>
      </c>
      <c r="K44" s="744"/>
      <c r="L44" s="424"/>
      <c r="M44" s="38"/>
      <c r="N44" s="38"/>
      <c r="O44" s="38"/>
      <c r="P44" s="38"/>
      <c r="Q44" s="38"/>
      <c r="R44" s="38"/>
      <c r="S44" s="38"/>
      <c r="T44" s="38"/>
      <c r="U44" s="38"/>
      <c r="V44" s="38"/>
      <c r="W44" s="38"/>
    </row>
    <row r="45" spans="1:23" ht="11.25" customHeight="1" x14ac:dyDescent="0.25">
      <c r="A45" s="407" t="str">
        <f>'Org structure'!E41</f>
        <v>4.6 - Occupational Health &amp; safety</v>
      </c>
      <c r="B45" s="445"/>
      <c r="C45" s="740"/>
      <c r="D45" s="741"/>
      <c r="E45" s="741"/>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structure'!E42</f>
        <v>4.8 - Corporate Services</v>
      </c>
      <c r="B46" s="445"/>
      <c r="C46" s="740"/>
      <c r="D46" s="741">
        <v>103</v>
      </c>
      <c r="E46" s="741">
        <v>103</v>
      </c>
      <c r="F46" s="743"/>
      <c r="G46" s="742"/>
      <c r="H46" s="743"/>
      <c r="I46" s="44">
        <f t="shared" si="1"/>
        <v>0</v>
      </c>
      <c r="J46" s="330" t="str">
        <f t="shared" si="2"/>
        <v/>
      </c>
      <c r="K46" s="744">
        <v>103</v>
      </c>
      <c r="L46" s="424"/>
      <c r="M46" s="38"/>
      <c r="N46" s="38"/>
      <c r="O46" s="38"/>
      <c r="P46" s="38"/>
      <c r="Q46" s="38"/>
      <c r="R46" s="38"/>
      <c r="S46" s="38"/>
      <c r="T46" s="38"/>
      <c r="U46" s="38"/>
      <c r="V46" s="38"/>
      <c r="W46" s="38"/>
    </row>
    <row r="47" spans="1:23" ht="11.25"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Community Services</v>
      </c>
      <c r="B50" s="440"/>
      <c r="C50" s="503">
        <f>SUM(C51:C60)</f>
        <v>39120601.050000004</v>
      </c>
      <c r="D50" s="444">
        <f t="shared" ref="D50:K50" si="6">SUM(D51:D60)</f>
        <v>63100559</v>
      </c>
      <c r="E50" s="441">
        <f t="shared" si="6"/>
        <v>63100559</v>
      </c>
      <c r="F50" s="443">
        <f t="shared" si="6"/>
        <v>2802519.74</v>
      </c>
      <c r="G50" s="441">
        <f t="shared" si="6"/>
        <v>21289686.25</v>
      </c>
      <c r="H50" s="443">
        <f t="shared" si="6"/>
        <v>20906109.350000001</v>
      </c>
      <c r="I50" s="44">
        <f t="shared" si="1"/>
        <v>383576.89999999851</v>
      </c>
      <c r="J50" s="330">
        <f t="shared" si="2"/>
        <v>1.834759847364897E-2</v>
      </c>
      <c r="K50" s="442">
        <f t="shared" si="6"/>
        <v>63100559</v>
      </c>
      <c r="L50" s="424"/>
      <c r="M50" s="38"/>
      <c r="N50" s="38"/>
      <c r="O50" s="38"/>
      <c r="P50" s="38"/>
      <c r="Q50" s="38"/>
      <c r="R50" s="38"/>
      <c r="S50" s="38"/>
      <c r="T50" s="38"/>
      <c r="U50" s="38"/>
      <c r="V50" s="38"/>
      <c r="W50" s="38"/>
    </row>
    <row r="51" spans="1:23" ht="11.25" customHeight="1" x14ac:dyDescent="0.25">
      <c r="A51" s="407" t="str">
        <f>'Org structure'!E47</f>
        <v>5.1 - Parks &amp; Recreation</v>
      </c>
      <c r="B51" s="445"/>
      <c r="C51" s="740">
        <v>124948</v>
      </c>
      <c r="D51" s="741">
        <v>560766</v>
      </c>
      <c r="E51" s="741">
        <v>560766</v>
      </c>
      <c r="F51" s="743">
        <v>25198</v>
      </c>
      <c r="G51" s="742">
        <v>118301.41</v>
      </c>
      <c r="H51" s="743">
        <v>68956</v>
      </c>
      <c r="I51" s="44">
        <f t="shared" si="1"/>
        <v>49345.41</v>
      </c>
      <c r="J51" s="330">
        <f t="shared" si="2"/>
        <v>0.7156071987934336</v>
      </c>
      <c r="K51" s="744">
        <v>560766</v>
      </c>
      <c r="L51" s="424"/>
      <c r="M51" s="38"/>
      <c r="N51" s="38"/>
      <c r="O51" s="38"/>
      <c r="P51" s="38"/>
      <c r="Q51" s="38"/>
      <c r="R51" s="38"/>
      <c r="S51" s="38"/>
      <c r="T51" s="38"/>
      <c r="U51" s="38"/>
      <c r="V51" s="38"/>
      <c r="W51" s="38"/>
    </row>
    <row r="52" spans="1:23" ht="11.25" customHeight="1" x14ac:dyDescent="0.25">
      <c r="A52" s="407" t="str">
        <f>'Org structure'!E48</f>
        <v>5.2 - Administration Community Services</v>
      </c>
      <c r="B52" s="445"/>
      <c r="C52" s="740"/>
      <c r="D52" s="741"/>
      <c r="E52" s="741"/>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structure'!E49</f>
        <v>5.3 - Community Health Services</v>
      </c>
      <c r="B53" s="445"/>
      <c r="C53" s="740"/>
      <c r="D53" s="741"/>
      <c r="E53" s="741"/>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structure'!E50</f>
        <v>5.4 - Enviromental Health Services</v>
      </c>
      <c r="B54" s="445"/>
      <c r="C54" s="740">
        <v>212999.42</v>
      </c>
      <c r="D54" s="741">
        <v>13000</v>
      </c>
      <c r="E54" s="741">
        <v>13000</v>
      </c>
      <c r="F54" s="743">
        <v>1066.8499999999999</v>
      </c>
      <c r="G54" s="742">
        <v>6401.1</v>
      </c>
      <c r="H54" s="743">
        <v>3200.55</v>
      </c>
      <c r="I54" s="44">
        <f t="shared" si="1"/>
        <v>3200.55</v>
      </c>
      <c r="J54" s="330">
        <f t="shared" si="2"/>
        <v>1</v>
      </c>
      <c r="K54" s="744">
        <v>13000</v>
      </c>
      <c r="L54" s="424"/>
      <c r="M54" s="38"/>
      <c r="N54" s="38"/>
      <c r="O54" s="38"/>
      <c r="P54" s="38"/>
      <c r="Q54" s="38"/>
      <c r="R54" s="38"/>
      <c r="S54" s="38"/>
      <c r="T54" s="38"/>
      <c r="U54" s="38"/>
      <c r="V54" s="38"/>
      <c r="W54" s="38"/>
    </row>
    <row r="55" spans="1:23" ht="11.25" customHeight="1" x14ac:dyDescent="0.25">
      <c r="A55" s="407" t="str">
        <f>'Org structure'!E51</f>
        <v>5.5 - Library Services</v>
      </c>
      <c r="B55" s="445"/>
      <c r="C55" s="740">
        <v>37722.5</v>
      </c>
      <c r="D55" s="741">
        <v>56136</v>
      </c>
      <c r="E55" s="741">
        <v>56136</v>
      </c>
      <c r="F55" s="743">
        <v>4700</v>
      </c>
      <c r="G55" s="742">
        <v>20206</v>
      </c>
      <c r="H55" s="743">
        <v>17111</v>
      </c>
      <c r="I55" s="44">
        <f t="shared" si="1"/>
        <v>3095</v>
      </c>
      <c r="J55" s="330">
        <f t="shared" si="2"/>
        <v>0.18087779790777861</v>
      </c>
      <c r="K55" s="744">
        <v>56136</v>
      </c>
      <c r="L55" s="424"/>
      <c r="M55" s="38"/>
      <c r="N55" s="38"/>
      <c r="O55" s="38"/>
      <c r="P55" s="38"/>
      <c r="Q55" s="38"/>
      <c r="R55" s="38"/>
      <c r="S55" s="38"/>
      <c r="T55" s="38"/>
      <c r="U55" s="38"/>
      <c r="V55" s="38"/>
      <c r="W55" s="38"/>
    </row>
    <row r="56" spans="1:23" ht="11.25" customHeight="1" x14ac:dyDescent="0.25">
      <c r="A56" s="407" t="str">
        <f>'Org structure'!E52</f>
        <v>5.6 - Solid Waste</v>
      </c>
      <c r="B56" s="445"/>
      <c r="C56" s="740">
        <v>38744931.130000003</v>
      </c>
      <c r="D56" s="741">
        <v>62470657</v>
      </c>
      <c r="E56" s="741">
        <v>62470657</v>
      </c>
      <c r="F56" s="743">
        <v>2771554.89</v>
      </c>
      <c r="G56" s="742">
        <v>21144777.739999998</v>
      </c>
      <c r="H56" s="743">
        <v>20816841.800000001</v>
      </c>
      <c r="I56" s="44">
        <f t="shared" si="1"/>
        <v>327935.93999999762</v>
      </c>
      <c r="J56" s="330">
        <f t="shared" si="2"/>
        <v>1.5753395406982323E-2</v>
      </c>
      <c r="K56" s="744">
        <v>62470657</v>
      </c>
      <c r="L56" s="424"/>
      <c r="M56" s="38"/>
      <c r="N56" s="38"/>
      <c r="O56" s="38"/>
      <c r="P56" s="38"/>
      <c r="Q56" s="38"/>
      <c r="R56" s="38"/>
      <c r="S56" s="38"/>
      <c r="T56" s="38"/>
      <c r="U56" s="38"/>
      <c r="V56" s="38"/>
      <c r="W56" s="38"/>
    </row>
    <row r="57" spans="1:23" ht="11.25" customHeight="1" x14ac:dyDescent="0.25">
      <c r="A57" s="407" t="str">
        <f>'Org structure'!E53</f>
        <v>5.7 - Street Cleansing</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structure'!E54</f>
        <v>5.8 - Public Toilets</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Community Services</v>
      </c>
      <c r="B61" s="440"/>
      <c r="C61" s="503">
        <f>SUM(C62:C71)</f>
        <v>46661510.850000001</v>
      </c>
      <c r="D61" s="444">
        <f t="shared" ref="D61:K61" si="7">SUM(D62:D71)</f>
        <v>91682291</v>
      </c>
      <c r="E61" s="441">
        <f t="shared" si="7"/>
        <v>91682291</v>
      </c>
      <c r="F61" s="443">
        <f t="shared" si="7"/>
        <v>5992454.3899999997</v>
      </c>
      <c r="G61" s="441">
        <f t="shared" si="7"/>
        <v>34789403.329999998</v>
      </c>
      <c r="H61" s="443">
        <f t="shared" si="7"/>
        <v>30245370.530000001</v>
      </c>
      <c r="I61" s="44">
        <f t="shared" si="1"/>
        <v>4544032.799999997</v>
      </c>
      <c r="J61" s="330">
        <f t="shared" si="2"/>
        <v>0.15023895294960357</v>
      </c>
      <c r="K61" s="442">
        <f t="shared" si="7"/>
        <v>91682291</v>
      </c>
      <c r="L61" s="424"/>
      <c r="M61" s="38"/>
      <c r="N61" s="38"/>
      <c r="O61" s="38"/>
      <c r="P61" s="38"/>
      <c r="Q61" s="38"/>
      <c r="R61" s="38"/>
      <c r="S61" s="38"/>
      <c r="T61" s="38"/>
      <c r="U61" s="38"/>
      <c r="V61" s="38"/>
      <c r="W61" s="38"/>
    </row>
    <row r="62" spans="1:23" ht="11.25" customHeight="1" x14ac:dyDescent="0.25">
      <c r="A62" s="407" t="str">
        <f>'Org structure'!E58</f>
        <v>6.2 - Administration Transport,safety,Security</v>
      </c>
      <c r="B62" s="445"/>
      <c r="C62" s="740"/>
      <c r="D62" s="741"/>
      <c r="E62" s="742"/>
      <c r="F62" s="743"/>
      <c r="G62" s="742"/>
      <c r="H62" s="743"/>
      <c r="I62" s="44">
        <f t="shared" si="1"/>
        <v>0</v>
      </c>
      <c r="J62" s="330" t="str">
        <f t="shared" si="2"/>
        <v/>
      </c>
      <c r="K62" s="744"/>
      <c r="L62" s="424"/>
      <c r="M62" s="38"/>
      <c r="N62" s="38"/>
      <c r="O62" s="38"/>
      <c r="P62" s="38"/>
      <c r="Q62" s="38"/>
      <c r="R62" s="38"/>
      <c r="S62" s="38"/>
      <c r="T62" s="38"/>
      <c r="U62" s="38"/>
      <c r="V62" s="38"/>
      <c r="W62" s="38"/>
    </row>
    <row r="63" spans="1:23" ht="11.25" customHeight="1" x14ac:dyDescent="0.25">
      <c r="A63" s="407" t="str">
        <f>'Org structure'!E59</f>
        <v>6.3 - Vehicle licencing</v>
      </c>
      <c r="B63" s="445"/>
      <c r="C63" s="740">
        <v>15025880.85</v>
      </c>
      <c r="D63" s="741">
        <v>53681291</v>
      </c>
      <c r="E63" s="741">
        <v>53681291</v>
      </c>
      <c r="F63" s="743">
        <v>5873654.3899999997</v>
      </c>
      <c r="G63" s="742">
        <v>33995233.329999998</v>
      </c>
      <c r="H63" s="743">
        <v>28299725.010000002</v>
      </c>
      <c r="I63" s="44">
        <f t="shared" si="1"/>
        <v>5695508.3199999966</v>
      </c>
      <c r="J63" s="330">
        <f t="shared" si="2"/>
        <v>0.2012566665572697</v>
      </c>
      <c r="K63" s="744">
        <v>53681291</v>
      </c>
      <c r="L63" s="424"/>
      <c r="M63" s="38"/>
      <c r="N63" s="38"/>
      <c r="O63" s="38"/>
      <c r="P63" s="38"/>
      <c r="Q63" s="38"/>
      <c r="R63" s="38"/>
      <c r="S63" s="38"/>
      <c r="T63" s="38"/>
      <c r="U63" s="38"/>
      <c r="V63" s="38"/>
      <c r="W63" s="38"/>
    </row>
    <row r="64" spans="1:23" ht="11.25" customHeight="1" x14ac:dyDescent="0.25">
      <c r="A64" s="407" t="str">
        <f>'Org structure'!E60</f>
        <v>6.1 - Traffic services</v>
      </c>
      <c r="B64" s="445"/>
      <c r="C64" s="740">
        <v>31635630</v>
      </c>
      <c r="D64" s="741">
        <v>38001000</v>
      </c>
      <c r="E64" s="741">
        <v>38001000</v>
      </c>
      <c r="F64" s="743">
        <v>118800</v>
      </c>
      <c r="G64" s="742">
        <v>794170</v>
      </c>
      <c r="H64" s="743">
        <v>1945645.52</v>
      </c>
      <c r="I64" s="44">
        <f t="shared" si="1"/>
        <v>-1151475.52</v>
      </c>
      <c r="J64" s="330">
        <f t="shared" si="2"/>
        <v>-0.59182184429977769</v>
      </c>
      <c r="K64" s="744">
        <v>38001000</v>
      </c>
      <c r="L64" s="424"/>
      <c r="M64" s="38"/>
      <c r="N64" s="38"/>
      <c r="O64" s="38"/>
      <c r="P64" s="38"/>
      <c r="Q64" s="38"/>
      <c r="R64" s="38"/>
      <c r="S64" s="38"/>
      <c r="T64" s="38"/>
      <c r="U64" s="38"/>
      <c r="V64" s="38"/>
      <c r="W64" s="38"/>
    </row>
    <row r="65" spans="1:23" ht="11.25" customHeight="1" x14ac:dyDescent="0.25">
      <c r="A65" s="407">
        <f>'Org structure'!E61</f>
        <v>0</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structure'!E62</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customHeight="1" x14ac:dyDescent="0.25">
      <c r="A72" s="466" t="str">
        <f>'Org structure'!A8</f>
        <v>Vote 7 - Electrical Engineering Services</v>
      </c>
      <c r="B72" s="440"/>
      <c r="C72" s="503">
        <f t="shared" ref="C72:K72" si="10">SUM(C73:C82)</f>
        <v>459468534.35000002</v>
      </c>
      <c r="D72" s="444">
        <f t="shared" si="10"/>
        <v>597331000</v>
      </c>
      <c r="E72" s="441">
        <f t="shared" si="10"/>
        <v>597331000</v>
      </c>
      <c r="F72" s="443">
        <f t="shared" si="10"/>
        <v>37511115.810000002</v>
      </c>
      <c r="G72" s="441">
        <f t="shared" si="10"/>
        <v>306007804.49000001</v>
      </c>
      <c r="H72" s="443">
        <f t="shared" si="10"/>
        <v>282161766.46999997</v>
      </c>
      <c r="I72" s="44">
        <f t="shared" si="8"/>
        <v>23846038.020000041</v>
      </c>
      <c r="J72" s="330">
        <f t="shared" si="9"/>
        <v>8.4511939084898666E-2</v>
      </c>
      <c r="K72" s="442">
        <f t="shared" si="10"/>
        <v>597331000</v>
      </c>
      <c r="L72" s="424"/>
      <c r="M72" s="38"/>
      <c r="N72" s="38"/>
      <c r="O72" s="38"/>
      <c r="P72" s="38"/>
      <c r="Q72" s="38"/>
      <c r="R72" s="38"/>
      <c r="S72" s="38"/>
      <c r="T72" s="38"/>
      <c r="U72" s="38"/>
      <c r="V72" s="38"/>
      <c r="W72" s="38"/>
    </row>
    <row r="73" spans="1:23" ht="11.25" customHeight="1" x14ac:dyDescent="0.25">
      <c r="A73" s="407" t="str">
        <f>'Org structure'!E69</f>
        <v>7.1 - Administration Electrical Engineering</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customHeight="1" x14ac:dyDescent="0.25">
      <c r="A74" s="407" t="str">
        <f>'Org structure'!E70</f>
        <v>7.2 - Operations &amp; Maintenance: Rural</v>
      </c>
      <c r="B74" s="445"/>
      <c r="C74" s="740">
        <v>25768554.690000001</v>
      </c>
      <c r="D74" s="741">
        <v>446080000</v>
      </c>
      <c r="E74" s="741">
        <v>446080000</v>
      </c>
      <c r="F74" s="743">
        <v>212811.75</v>
      </c>
      <c r="G74" s="742">
        <v>45874224.869999997</v>
      </c>
      <c r="H74" s="743">
        <v>24879382.09</v>
      </c>
      <c r="I74" s="44">
        <f t="shared" si="8"/>
        <v>20994842.779999997</v>
      </c>
      <c r="J74" s="330">
        <f t="shared" si="9"/>
        <v>0.8438651210891065</v>
      </c>
      <c r="K74" s="744">
        <v>446080000</v>
      </c>
      <c r="L74" s="424"/>
      <c r="M74" s="38"/>
      <c r="N74" s="38"/>
      <c r="O74" s="38"/>
      <c r="P74" s="38"/>
      <c r="Q74" s="38"/>
      <c r="R74" s="38"/>
      <c r="S74" s="38"/>
      <c r="T74" s="38"/>
      <c r="U74" s="38"/>
      <c r="V74" s="38"/>
      <c r="W74" s="38"/>
    </row>
    <row r="75" spans="1:23" ht="11.25" customHeight="1" x14ac:dyDescent="0.25">
      <c r="A75" s="407" t="str">
        <f>'Org structure'!E71</f>
        <v>7.3 - Operations &amp; Maintenance: Town</v>
      </c>
      <c r="B75" s="445"/>
      <c r="C75" s="740">
        <v>433699979.66000003</v>
      </c>
      <c r="D75" s="741">
        <v>151251000</v>
      </c>
      <c r="E75" s="741">
        <v>151251000</v>
      </c>
      <c r="F75" s="743">
        <v>37298304.060000002</v>
      </c>
      <c r="G75" s="742">
        <v>260133579.62</v>
      </c>
      <c r="H75" s="743">
        <v>257282384.38</v>
      </c>
      <c r="I75" s="44">
        <f t="shared" si="8"/>
        <v>2851195.2400000095</v>
      </c>
      <c r="J75" s="330">
        <f t="shared" si="9"/>
        <v>1.1081968347233838E-2</v>
      </c>
      <c r="K75" s="744">
        <v>151251000</v>
      </c>
      <c r="L75" s="424"/>
      <c r="M75" s="38"/>
      <c r="N75" s="38"/>
      <c r="O75" s="38"/>
      <c r="P75" s="38"/>
      <c r="Q75" s="38"/>
      <c r="R75" s="38"/>
      <c r="S75" s="38"/>
      <c r="T75" s="38"/>
      <c r="U75" s="38"/>
      <c r="V75" s="38"/>
      <c r="W75" s="38"/>
    </row>
    <row r="76" spans="1:23" ht="11.25"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66" t="str">
        <f>'Org structure'!A9</f>
        <v>Vote 8 - Engineering Services</v>
      </c>
      <c r="B83" s="445"/>
      <c r="C83" s="503">
        <f>SUM(C84:C93)</f>
        <v>78874915.329999998</v>
      </c>
      <c r="D83" s="444">
        <f t="shared" ref="D83:K83" si="11">SUM(D84:D93)</f>
        <v>96724325</v>
      </c>
      <c r="E83" s="441">
        <f t="shared" si="11"/>
        <v>96724325</v>
      </c>
      <c r="F83" s="443">
        <f t="shared" si="11"/>
        <v>148583.09</v>
      </c>
      <c r="G83" s="441">
        <f t="shared" si="11"/>
        <v>64714925.490000002</v>
      </c>
      <c r="H83" s="443">
        <f t="shared" si="11"/>
        <v>80023384.769999996</v>
      </c>
      <c r="I83" s="44">
        <f t="shared" si="8"/>
        <v>-15308459.279999994</v>
      </c>
      <c r="J83" s="330">
        <f t="shared" si="9"/>
        <v>-0.19129982222070402</v>
      </c>
      <c r="K83" s="442">
        <f t="shared" si="11"/>
        <v>96724325</v>
      </c>
      <c r="L83" s="446"/>
      <c r="M83" s="40"/>
      <c r="N83" s="40"/>
      <c r="O83" s="40"/>
      <c r="P83" s="40"/>
      <c r="Q83" s="40"/>
      <c r="R83" s="40"/>
      <c r="S83" s="40"/>
      <c r="T83" s="40"/>
      <c r="U83" s="40"/>
      <c r="V83" s="40"/>
      <c r="W83" s="40"/>
    </row>
    <row r="84" spans="1:23" ht="11.25" customHeight="1" x14ac:dyDescent="0.25">
      <c r="A84" s="407" t="str">
        <f>'Org structure'!E80</f>
        <v>8.1 - Fleet Management</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customHeight="1" x14ac:dyDescent="0.25">
      <c r="A85" s="407" t="str">
        <f>'Org structure'!E81</f>
        <v>8.2 - Administration Civil Engineering</v>
      </c>
      <c r="B85" s="445"/>
      <c r="C85" s="740"/>
      <c r="D85" s="741">
        <v>100</v>
      </c>
      <c r="E85" s="741">
        <v>100</v>
      </c>
      <c r="F85" s="743"/>
      <c r="G85" s="742"/>
      <c r="H85" s="743"/>
      <c r="I85" s="44">
        <f t="shared" si="8"/>
        <v>0</v>
      </c>
      <c r="J85" s="330" t="str">
        <f t="shared" si="9"/>
        <v/>
      </c>
      <c r="K85" s="744">
        <v>100</v>
      </c>
      <c r="L85" s="446"/>
      <c r="M85" s="40"/>
      <c r="N85" s="40"/>
      <c r="O85" s="40"/>
      <c r="P85" s="40"/>
      <c r="Q85" s="40"/>
      <c r="R85" s="40"/>
      <c r="S85" s="40"/>
      <c r="T85" s="40"/>
      <c r="U85" s="40"/>
      <c r="V85" s="40"/>
      <c r="W85" s="40"/>
    </row>
    <row r="86" spans="1:23" ht="11.25" customHeight="1" x14ac:dyDescent="0.25">
      <c r="A86" s="407" t="str">
        <f>'Org structure'!E82</f>
        <v>8.3 - Roads &amp; stormwater Management</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structure'!E83</f>
        <v>8.4 - Water Networks</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structure'!E84</f>
        <v>8.5 - Water Purification</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structure'!E85</f>
        <v>8.6 - Building &amp; Housing</v>
      </c>
      <c r="B89" s="445"/>
      <c r="C89" s="740">
        <v>2724294.14</v>
      </c>
      <c r="D89" s="741">
        <v>2461225</v>
      </c>
      <c r="E89" s="742">
        <v>2461225</v>
      </c>
      <c r="F89" s="743">
        <v>148583.09</v>
      </c>
      <c r="G89" s="742">
        <v>996925.49</v>
      </c>
      <c r="H89" s="743">
        <v>1556384.77</v>
      </c>
      <c r="I89" s="44">
        <f t="shared" si="8"/>
        <v>-559459.28</v>
      </c>
      <c r="J89" s="330">
        <f t="shared" si="9"/>
        <v>-0.35946077781267421</v>
      </c>
      <c r="K89" s="744">
        <v>2461225</v>
      </c>
      <c r="L89" s="446"/>
      <c r="M89" s="40"/>
      <c r="N89" s="40"/>
      <c r="O89" s="40"/>
      <c r="P89" s="40"/>
      <c r="Q89" s="40"/>
      <c r="R89" s="40"/>
      <c r="S89" s="40"/>
      <c r="T89" s="40"/>
      <c r="U89" s="40"/>
      <c r="V89" s="40"/>
      <c r="W89" s="40"/>
    </row>
    <row r="90" spans="1:23" ht="11.25" customHeight="1" x14ac:dyDescent="0.25">
      <c r="A90" s="407" t="str">
        <f>'Org structure'!E86</f>
        <v>8.7 - Project Management</v>
      </c>
      <c r="B90" s="445"/>
      <c r="C90" s="740">
        <v>76150621.189999998</v>
      </c>
      <c r="D90" s="741">
        <v>94263000</v>
      </c>
      <c r="E90" s="742">
        <v>94263000</v>
      </c>
      <c r="F90" s="743">
        <v>0</v>
      </c>
      <c r="G90" s="742">
        <v>63718000</v>
      </c>
      <c r="H90" s="743">
        <v>78467000</v>
      </c>
      <c r="I90" s="44">
        <f t="shared" si="8"/>
        <v>-14749000</v>
      </c>
      <c r="J90" s="330">
        <f t="shared" si="9"/>
        <v>-0.18796436718620566</v>
      </c>
      <c r="K90" s="744">
        <v>94263000</v>
      </c>
      <c r="L90" s="446"/>
      <c r="M90" s="40"/>
      <c r="N90" s="40"/>
      <c r="O90" s="40"/>
      <c r="P90" s="40"/>
      <c r="Q90" s="40"/>
      <c r="R90" s="40"/>
      <c r="S90" s="40"/>
      <c r="T90" s="40"/>
      <c r="U90" s="40"/>
      <c r="V90" s="40"/>
      <c r="W90" s="40"/>
    </row>
    <row r="91" spans="1:23" ht="11.25"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66" t="str">
        <f>'Org structure'!A10</f>
        <v>Vote 9 - GTEDA</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customHeight="1" x14ac:dyDescent="0.25">
      <c r="A95" s="407" t="str">
        <f>'Org structure'!E91</f>
        <v>9.1 - Gteda</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644</v>
      </c>
      <c r="B171" s="415">
        <v>2</v>
      </c>
      <c r="C171" s="504">
        <f>C6+C17+C28+C39+C50+C61+C72+C83+C94+C105+C116+C127+C138+C149+C160</f>
        <v>1135353415.29</v>
      </c>
      <c r="D171" s="451">
        <f t="shared" ref="D171:K171" si="22">D6+D17+D28+D39+D50+D61+D72+D83+D94+D105+D116+D127+D138+D149+D160</f>
        <v>1359176307</v>
      </c>
      <c r="E171" s="448">
        <f t="shared" si="22"/>
        <v>1359176307</v>
      </c>
      <c r="F171" s="450">
        <f t="shared" si="22"/>
        <v>187292374.67000002</v>
      </c>
      <c r="G171" s="448">
        <f t="shared" si="22"/>
        <v>796670404.41000009</v>
      </c>
      <c r="H171" s="450">
        <f t="shared" si="22"/>
        <v>741172551.39999986</v>
      </c>
      <c r="I171" s="514">
        <f t="shared" si="16"/>
        <v>55497853.010000229</v>
      </c>
      <c r="J171" s="515">
        <f t="shared" si="17"/>
        <v>7.4878451590213918E-2</v>
      </c>
      <c r="K171" s="449">
        <f t="shared" si="22"/>
        <v>1359176307</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761</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Municipal Manager</v>
      </c>
      <c r="B174" s="467"/>
      <c r="C174" s="507">
        <f t="shared" ref="C174:K174" si="23">SUM(C175:C184)</f>
        <v>73412075.829999983</v>
      </c>
      <c r="D174" s="471">
        <f t="shared" si="23"/>
        <v>75195251</v>
      </c>
      <c r="E174" s="468">
        <f t="shared" si="23"/>
        <v>75195251</v>
      </c>
      <c r="F174" s="470">
        <f t="shared" si="23"/>
        <v>8075345.1700000009</v>
      </c>
      <c r="G174" s="468">
        <f t="shared" si="23"/>
        <v>42431799.759999998</v>
      </c>
      <c r="H174" s="470">
        <f t="shared" si="23"/>
        <v>37639725.490000002</v>
      </c>
      <c r="I174" s="44">
        <f t="shared" si="16"/>
        <v>4792074.2699999958</v>
      </c>
      <c r="J174" s="330">
        <f t="shared" si="17"/>
        <v>0.1273142725568798</v>
      </c>
      <c r="K174" s="469">
        <f t="shared" si="23"/>
        <v>75195251</v>
      </c>
      <c r="L174" s="446"/>
      <c r="M174" s="40"/>
      <c r="N174" s="40"/>
      <c r="O174" s="40"/>
      <c r="P174" s="40"/>
      <c r="Q174" s="40"/>
      <c r="R174" s="40"/>
      <c r="S174" s="40"/>
      <c r="T174" s="40"/>
      <c r="U174" s="40"/>
      <c r="V174" s="40"/>
      <c r="W174" s="40"/>
    </row>
    <row r="175" spans="1:23" ht="11.25" customHeight="1" x14ac:dyDescent="0.25">
      <c r="A175" s="407" t="str">
        <f>'Org structure'!E3</f>
        <v>1.1 - Administration Municipal Manager</v>
      </c>
      <c r="B175" s="445"/>
      <c r="C175" s="745">
        <v>3084044.56</v>
      </c>
      <c r="D175" s="746">
        <v>4114817</v>
      </c>
      <c r="E175" s="746">
        <v>4114817</v>
      </c>
      <c r="F175" s="747">
        <v>279133.08999999997</v>
      </c>
      <c r="G175" s="734">
        <v>1412428.0999999996</v>
      </c>
      <c r="H175" s="747">
        <v>1446019.6099999999</v>
      </c>
      <c r="I175" s="44">
        <f t="shared" si="16"/>
        <v>-33591.510000000242</v>
      </c>
      <c r="J175" s="330">
        <f t="shared" si="17"/>
        <v>-2.3230328114291786E-2</v>
      </c>
      <c r="K175" s="748">
        <v>4114817</v>
      </c>
      <c r="L175" s="446"/>
      <c r="M175" s="40"/>
      <c r="N175" s="40"/>
      <c r="O175" s="40"/>
      <c r="P175" s="40"/>
      <c r="Q175" s="40"/>
      <c r="R175" s="40"/>
      <c r="S175" s="40"/>
      <c r="T175" s="40"/>
      <c r="U175" s="40"/>
      <c r="V175" s="40"/>
      <c r="W175" s="40"/>
    </row>
    <row r="176" spans="1:23" ht="11.25" customHeight="1" x14ac:dyDescent="0.25">
      <c r="A176" s="407" t="str">
        <f>'Org structure'!E4</f>
        <v>1.2 - Internal Audit</v>
      </c>
      <c r="B176" s="445"/>
      <c r="C176" s="745">
        <v>4337729.540000001</v>
      </c>
      <c r="D176" s="746">
        <v>5764267</v>
      </c>
      <c r="E176" s="746">
        <v>5764267</v>
      </c>
      <c r="F176" s="747">
        <v>453467.63999999996</v>
      </c>
      <c r="G176" s="734">
        <v>2491346.7200000002</v>
      </c>
      <c r="H176" s="747">
        <v>2175077.02</v>
      </c>
      <c r="I176" s="44">
        <f t="shared" si="16"/>
        <v>316269.70000000019</v>
      </c>
      <c r="J176" s="330">
        <f t="shared" si="17"/>
        <v>0.14540620727076606</v>
      </c>
      <c r="K176" s="748">
        <v>5764267</v>
      </c>
      <c r="L176" s="446"/>
      <c r="M176" s="40"/>
      <c r="N176" s="40"/>
      <c r="O176" s="40"/>
      <c r="P176" s="40"/>
      <c r="Q176" s="40"/>
      <c r="R176" s="40"/>
      <c r="S176" s="40"/>
      <c r="T176" s="40"/>
      <c r="U176" s="40"/>
      <c r="V176" s="40"/>
      <c r="W176" s="40"/>
    </row>
    <row r="177" spans="1:23" ht="11.25" customHeight="1" x14ac:dyDescent="0.25">
      <c r="A177" s="407" t="str">
        <f>'Org structure'!E5</f>
        <v>1.4 - Strategic Support</v>
      </c>
      <c r="B177" s="445"/>
      <c r="C177" s="745">
        <v>3318642.77</v>
      </c>
      <c r="D177" s="746">
        <v>3995551</v>
      </c>
      <c r="E177" s="746">
        <v>3995551</v>
      </c>
      <c r="F177" s="747">
        <v>486954.02000000008</v>
      </c>
      <c r="G177" s="734">
        <v>2131484.1700000004</v>
      </c>
      <c r="H177" s="747">
        <v>1763980.82</v>
      </c>
      <c r="I177" s="44">
        <f t="shared" si="16"/>
        <v>367503.35000000033</v>
      </c>
      <c r="J177" s="330">
        <f t="shared" si="17"/>
        <v>0.20833749768322329</v>
      </c>
      <c r="K177" s="748">
        <v>3995551</v>
      </c>
      <c r="L177" s="446"/>
      <c r="M177" s="40"/>
      <c r="N177" s="40"/>
      <c r="O177" s="40"/>
      <c r="P177" s="40"/>
      <c r="Q177" s="40"/>
      <c r="R177" s="40"/>
      <c r="S177" s="40"/>
      <c r="T177" s="40"/>
      <c r="U177" s="40"/>
      <c r="V177" s="40"/>
      <c r="W177" s="40"/>
    </row>
    <row r="178" spans="1:23" ht="11.25" customHeight="1" x14ac:dyDescent="0.25">
      <c r="A178" s="407" t="str">
        <f>'Org structure'!E6</f>
        <v>1.5 - Risk Management</v>
      </c>
      <c r="B178" s="445"/>
      <c r="C178" s="745">
        <v>2020230.06</v>
      </c>
      <c r="D178" s="746">
        <v>2096278</v>
      </c>
      <c r="E178" s="746">
        <v>2096278</v>
      </c>
      <c r="F178" s="747">
        <v>155681.21</v>
      </c>
      <c r="G178" s="734">
        <v>954870.41</v>
      </c>
      <c r="H178" s="747">
        <v>913315.28</v>
      </c>
      <c r="I178" s="44">
        <f t="shared" si="16"/>
        <v>41555.130000000005</v>
      </c>
      <c r="J178" s="330">
        <f t="shared" si="17"/>
        <v>4.5499216875031376E-2</v>
      </c>
      <c r="K178" s="748">
        <v>2096278</v>
      </c>
      <c r="L178" s="446"/>
      <c r="M178" s="40"/>
      <c r="N178" s="40"/>
      <c r="O178" s="40"/>
      <c r="P178" s="40"/>
      <c r="Q178" s="40"/>
      <c r="R178" s="40"/>
      <c r="S178" s="40"/>
      <c r="T178" s="40"/>
      <c r="U178" s="40"/>
      <c r="V178" s="40"/>
      <c r="W178" s="40"/>
    </row>
    <row r="179" spans="1:23" ht="11.25" customHeight="1" x14ac:dyDescent="0.25">
      <c r="A179" s="407" t="str">
        <f>'Org structure'!E7</f>
        <v>1.6 - Legal Services</v>
      </c>
      <c r="B179" s="445"/>
      <c r="C179" s="745">
        <v>22170045.859999999</v>
      </c>
      <c r="D179" s="746">
        <v>15447452</v>
      </c>
      <c r="E179" s="746">
        <v>15447452</v>
      </c>
      <c r="F179" s="747">
        <v>3731283.7600000002</v>
      </c>
      <c r="G179" s="734">
        <v>16197630.75</v>
      </c>
      <c r="H179" s="747">
        <v>13257441.439999999</v>
      </c>
      <c r="I179" s="44">
        <f t="shared" si="16"/>
        <v>2940189.3100000005</v>
      </c>
      <c r="J179" s="330">
        <f t="shared" si="17"/>
        <v>0.22177652628575373</v>
      </c>
      <c r="K179" s="748">
        <v>15447452</v>
      </c>
      <c r="L179" s="446"/>
      <c r="M179" s="40"/>
      <c r="N179" s="40"/>
      <c r="O179" s="40"/>
      <c r="P179" s="40"/>
      <c r="Q179" s="40"/>
      <c r="R179" s="40"/>
      <c r="S179" s="40"/>
      <c r="T179" s="40"/>
      <c r="U179" s="40"/>
      <c r="V179" s="40"/>
      <c r="W179" s="40"/>
    </row>
    <row r="180" spans="1:23" ht="11.25" customHeight="1" x14ac:dyDescent="0.25">
      <c r="A180" s="407" t="str">
        <f>'Org structure'!E8</f>
        <v>1.3 - Disaster Management</v>
      </c>
      <c r="B180" s="445"/>
      <c r="C180" s="745">
        <v>2086387.55</v>
      </c>
      <c r="D180" s="746">
        <v>2562316</v>
      </c>
      <c r="E180" s="746">
        <v>2562316</v>
      </c>
      <c r="F180" s="747">
        <v>181186.76</v>
      </c>
      <c r="G180" s="734">
        <v>1288076.2000000002</v>
      </c>
      <c r="H180" s="747">
        <v>1395429.06</v>
      </c>
      <c r="I180" s="44">
        <f t="shared" si="16"/>
        <v>-107352.85999999987</v>
      </c>
      <c r="J180" s="330">
        <f t="shared" si="17"/>
        <v>-7.6931793293741405E-2</v>
      </c>
      <c r="K180" s="748">
        <v>2562316</v>
      </c>
      <c r="L180" s="446"/>
      <c r="M180" s="40"/>
      <c r="N180" s="40"/>
      <c r="O180" s="40"/>
      <c r="P180" s="40"/>
      <c r="Q180" s="40"/>
      <c r="R180" s="40"/>
      <c r="S180" s="40"/>
      <c r="T180" s="40"/>
      <c r="U180" s="40"/>
      <c r="V180" s="40"/>
      <c r="W180" s="40"/>
    </row>
    <row r="181" spans="1:23" ht="11.25" customHeight="1" x14ac:dyDescent="0.25">
      <c r="A181" s="407" t="str">
        <f>'Org structure'!E9</f>
        <v>1.7 - Council Expenditure</v>
      </c>
      <c r="B181" s="445"/>
      <c r="C181" s="745">
        <v>36394995.489999995</v>
      </c>
      <c r="D181" s="746">
        <v>41214570</v>
      </c>
      <c r="E181" s="746">
        <v>41214570</v>
      </c>
      <c r="F181" s="747">
        <v>2787638.6900000004</v>
      </c>
      <c r="G181" s="747">
        <v>17955963.41</v>
      </c>
      <c r="H181" s="747">
        <v>16688462.260000002</v>
      </c>
      <c r="I181" s="44">
        <f t="shared" si="16"/>
        <v>1267501.1499999985</v>
      </c>
      <c r="J181" s="330">
        <f t="shared" si="17"/>
        <v>7.595074550625483E-2</v>
      </c>
      <c r="K181" s="748">
        <v>41214570</v>
      </c>
      <c r="L181" s="446"/>
      <c r="M181" s="40"/>
      <c r="N181" s="40"/>
      <c r="O181" s="40"/>
      <c r="P181" s="40"/>
      <c r="Q181" s="40"/>
      <c r="R181" s="40"/>
      <c r="S181" s="40"/>
      <c r="T181" s="40"/>
      <c r="U181" s="40"/>
      <c r="V181" s="40"/>
      <c r="W181" s="40"/>
    </row>
    <row r="182" spans="1:23" ht="11.25" customHeight="1" x14ac:dyDescent="0.25">
      <c r="A182" s="407">
        <f>'Org structure'!E10</f>
        <v>0</v>
      </c>
      <c r="B182" s="445"/>
      <c r="C182" s="745"/>
      <c r="D182" s="746"/>
      <c r="E182" s="746"/>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Planning &amp; Economic Development</v>
      </c>
      <c r="B185" s="440"/>
      <c r="C185" s="503">
        <f>SUM(C186:C195)</f>
        <v>30432373.350000005</v>
      </c>
      <c r="D185" s="444">
        <f>SUM(D186:D195)</f>
        <v>31408863</v>
      </c>
      <c r="E185" s="441">
        <f t="shared" ref="E185:K185" si="24">SUM(E186:E195)</f>
        <v>31408863</v>
      </c>
      <c r="F185" s="443">
        <f t="shared" si="24"/>
        <v>2811006.4099999992</v>
      </c>
      <c r="G185" s="441">
        <f t="shared" si="24"/>
        <v>15233676.42</v>
      </c>
      <c r="H185" s="443">
        <f t="shared" si="24"/>
        <v>14188029.639999999</v>
      </c>
      <c r="I185" s="44">
        <f t="shared" si="16"/>
        <v>1045646.7800000012</v>
      </c>
      <c r="J185" s="330">
        <f t="shared" si="17"/>
        <v>7.3699224383633397E-2</v>
      </c>
      <c r="K185" s="442">
        <f t="shared" si="24"/>
        <v>31408863</v>
      </c>
      <c r="L185" s="48"/>
      <c r="M185" s="473"/>
      <c r="N185" s="473"/>
      <c r="O185" s="473"/>
      <c r="P185" s="473"/>
      <c r="Q185" s="473"/>
      <c r="R185" s="473"/>
      <c r="S185" s="473"/>
      <c r="T185" s="473"/>
      <c r="U185" s="473"/>
      <c r="V185" s="473"/>
      <c r="W185" s="473"/>
    </row>
    <row r="186" spans="1:23" ht="11.25" customHeight="1" x14ac:dyDescent="0.25">
      <c r="A186" s="407" t="str">
        <f>'Org structure'!E14</f>
        <v>2.1 - Administration Strategy &amp; Development</v>
      </c>
      <c r="B186" s="445"/>
      <c r="C186" s="745">
        <v>2068322.4100000001</v>
      </c>
      <c r="D186" s="746">
        <v>2556956</v>
      </c>
      <c r="E186" s="746">
        <v>2556956</v>
      </c>
      <c r="F186" s="747">
        <v>149259.32</v>
      </c>
      <c r="G186" s="734">
        <v>1016439.0900000001</v>
      </c>
      <c r="H186" s="747">
        <v>939442.04</v>
      </c>
      <c r="I186" s="44">
        <f t="shared" si="16"/>
        <v>76997.050000000047</v>
      </c>
      <c r="J186" s="330">
        <f t="shared" si="17"/>
        <v>8.1960404922905142E-2</v>
      </c>
      <c r="K186" s="748">
        <v>2556956</v>
      </c>
      <c r="L186" s="48"/>
      <c r="M186" s="473"/>
      <c r="N186" s="473"/>
      <c r="O186" s="473"/>
      <c r="P186" s="473"/>
      <c r="Q186" s="473"/>
      <c r="R186" s="473"/>
      <c r="S186" s="473"/>
      <c r="T186" s="473"/>
      <c r="U186" s="473"/>
      <c r="V186" s="473"/>
      <c r="W186" s="473"/>
    </row>
    <row r="187" spans="1:23" ht="11.25" customHeight="1" x14ac:dyDescent="0.25">
      <c r="A187" s="407" t="str">
        <f>'Org structure'!E15</f>
        <v>2.2 - Local Economic Development</v>
      </c>
      <c r="B187" s="445"/>
      <c r="C187" s="745">
        <v>12768923.289999999</v>
      </c>
      <c r="D187" s="746">
        <v>14588695</v>
      </c>
      <c r="E187" s="746">
        <v>14588695</v>
      </c>
      <c r="F187" s="747">
        <v>1549781.8599999999</v>
      </c>
      <c r="G187" s="734">
        <v>7983117.9999999991</v>
      </c>
      <c r="H187" s="747">
        <v>7318016.540000001</v>
      </c>
      <c r="I187" s="44">
        <f t="shared" si="16"/>
        <v>665101.4599999981</v>
      </c>
      <c r="J187" s="330">
        <f t="shared" si="17"/>
        <v>9.0885481928686382E-2</v>
      </c>
      <c r="K187" s="748">
        <v>14588695</v>
      </c>
      <c r="L187" s="48"/>
      <c r="M187" s="473"/>
      <c r="N187" s="473"/>
      <c r="O187" s="473"/>
      <c r="P187" s="473"/>
      <c r="Q187" s="473"/>
      <c r="R187" s="473"/>
      <c r="S187" s="473"/>
      <c r="T187" s="473"/>
      <c r="U187" s="473"/>
      <c r="V187" s="473"/>
      <c r="W187" s="473"/>
    </row>
    <row r="188" spans="1:23" ht="11.25" customHeight="1" x14ac:dyDescent="0.25">
      <c r="A188" s="407" t="str">
        <f>'Org structure'!E16</f>
        <v>2.3 - Town &amp; Regional Planning</v>
      </c>
      <c r="B188" s="445"/>
      <c r="C188" s="745">
        <v>5025018.1800000006</v>
      </c>
      <c r="D188" s="746">
        <v>6988122</v>
      </c>
      <c r="E188" s="746">
        <v>6988122</v>
      </c>
      <c r="F188" s="747">
        <v>544432.21</v>
      </c>
      <c r="G188" s="734">
        <v>2677094.4299999992</v>
      </c>
      <c r="H188" s="747">
        <v>2669360.96</v>
      </c>
      <c r="I188" s="44">
        <f t="shared" si="16"/>
        <v>7733.4699999992736</v>
      </c>
      <c r="J188" s="330">
        <f t="shared" si="17"/>
        <v>2.8971241116822481E-3</v>
      </c>
      <c r="K188" s="748">
        <v>6988122</v>
      </c>
      <c r="L188" s="48"/>
      <c r="M188" s="473"/>
      <c r="N188" s="473"/>
      <c r="O188" s="473"/>
      <c r="P188" s="473"/>
      <c r="Q188" s="473"/>
      <c r="R188" s="473"/>
      <c r="S188" s="473"/>
      <c r="T188" s="473"/>
      <c r="U188" s="473"/>
      <c r="V188" s="473"/>
      <c r="W188" s="473"/>
    </row>
    <row r="189" spans="1:23" ht="11.25" customHeight="1" x14ac:dyDescent="0.25">
      <c r="A189" s="407" t="str">
        <f>'Org structure'!E17</f>
        <v>2.4 - Housing Administration</v>
      </c>
      <c r="B189" s="445"/>
      <c r="C189" s="745">
        <v>10550600.58</v>
      </c>
      <c r="D189" s="746">
        <v>7190800</v>
      </c>
      <c r="E189" s="746">
        <v>7190800</v>
      </c>
      <c r="F189" s="747">
        <v>566807.55000000005</v>
      </c>
      <c r="G189" s="734">
        <v>3543519.08</v>
      </c>
      <c r="H189" s="747">
        <v>3256805.62</v>
      </c>
      <c r="I189" s="44">
        <f t="shared" si="16"/>
        <v>286713.45999999996</v>
      </c>
      <c r="J189" s="330">
        <f t="shared" si="17"/>
        <v>8.8035177242171414E-2</v>
      </c>
      <c r="K189" s="748">
        <v>7190800</v>
      </c>
      <c r="L189" s="48"/>
      <c r="M189" s="473"/>
      <c r="N189" s="473"/>
      <c r="O189" s="473"/>
      <c r="P189" s="473"/>
      <c r="Q189" s="473"/>
      <c r="R189" s="473"/>
      <c r="S189" s="473"/>
      <c r="T189" s="473"/>
      <c r="U189" s="473"/>
      <c r="V189" s="473"/>
      <c r="W189" s="473"/>
    </row>
    <row r="190" spans="1:23" ht="11.25" customHeight="1" x14ac:dyDescent="0.25">
      <c r="A190" s="407" t="str">
        <f>'Org structure'!E18</f>
        <v>2.5 - SATELITE OFFICE: NKOWANKOWA</v>
      </c>
      <c r="B190" s="445"/>
      <c r="C190" s="745">
        <v>4403.6000000000004</v>
      </c>
      <c r="D190" s="746">
        <v>31376</v>
      </c>
      <c r="E190" s="746">
        <v>31376</v>
      </c>
      <c r="F190" s="747">
        <v>225.63</v>
      </c>
      <c r="G190" s="734">
        <v>1867.8500000000004</v>
      </c>
      <c r="H190" s="747">
        <v>266.42</v>
      </c>
      <c r="I190" s="44">
        <f t="shared" si="16"/>
        <v>1601.4300000000003</v>
      </c>
      <c r="J190" s="330">
        <f t="shared" si="17"/>
        <v>6.0109226034081535</v>
      </c>
      <c r="K190" s="748">
        <v>31376</v>
      </c>
      <c r="L190" s="48"/>
      <c r="M190" s="473"/>
      <c r="N190" s="473"/>
      <c r="O190" s="473"/>
      <c r="P190" s="473"/>
      <c r="Q190" s="473"/>
      <c r="R190" s="473"/>
      <c r="S190" s="473"/>
      <c r="T190" s="473"/>
      <c r="U190" s="473"/>
      <c r="V190" s="473"/>
      <c r="W190" s="473"/>
    </row>
    <row r="191" spans="1:23" ht="11.25" customHeight="1" x14ac:dyDescent="0.25">
      <c r="A191" s="407" t="str">
        <f>'Org structure'!E19</f>
        <v>2.6 - SATELITE OFFICE: LENYENYE</v>
      </c>
      <c r="B191" s="445"/>
      <c r="C191" s="745">
        <v>14907.259999999998</v>
      </c>
      <c r="D191" s="746">
        <v>35427</v>
      </c>
      <c r="E191" s="746">
        <v>35427</v>
      </c>
      <c r="F191" s="747">
        <v>499.84</v>
      </c>
      <c r="G191" s="734">
        <v>11637.97</v>
      </c>
      <c r="H191" s="747">
        <v>3940.03</v>
      </c>
      <c r="I191" s="44">
        <f t="shared" si="16"/>
        <v>7697.9399999999987</v>
      </c>
      <c r="J191" s="330">
        <f t="shared" si="17"/>
        <v>1.9537770016979561</v>
      </c>
      <c r="K191" s="748">
        <v>35427</v>
      </c>
      <c r="L191" s="48"/>
      <c r="M191" s="473"/>
      <c r="N191" s="473"/>
      <c r="O191" s="473"/>
      <c r="P191" s="473"/>
      <c r="Q191" s="473"/>
      <c r="R191" s="473"/>
      <c r="S191" s="473"/>
      <c r="T191" s="473"/>
      <c r="U191" s="473"/>
      <c r="V191" s="473"/>
      <c r="W191" s="473"/>
    </row>
    <row r="192" spans="1:23" ht="11.25" customHeight="1" x14ac:dyDescent="0.25">
      <c r="A192" s="407" t="str">
        <f>'Org structure'!E20</f>
        <v>2.7 - SATELITE OFFICE: LETSITELE</v>
      </c>
      <c r="B192" s="445"/>
      <c r="C192" s="745">
        <v>198.03</v>
      </c>
      <c r="D192" s="746">
        <v>17487</v>
      </c>
      <c r="E192" s="746">
        <v>17487</v>
      </c>
      <c r="F192" s="747">
        <v>0</v>
      </c>
      <c r="G192" s="734">
        <v>0</v>
      </c>
      <c r="H192" s="747">
        <v>198.03</v>
      </c>
      <c r="I192" s="44">
        <f t="shared" si="16"/>
        <v>-198.03</v>
      </c>
      <c r="J192" s="330">
        <f t="shared" si="17"/>
        <v>-1</v>
      </c>
      <c r="K192" s="748">
        <v>17487</v>
      </c>
      <c r="L192" s="48"/>
      <c r="M192" s="473"/>
      <c r="N192" s="473"/>
      <c r="O192" s="473"/>
      <c r="P192" s="473"/>
      <c r="Q192" s="473"/>
      <c r="R192" s="473"/>
      <c r="S192" s="473"/>
      <c r="T192" s="473"/>
      <c r="U192" s="473"/>
      <c r="V192" s="473"/>
      <c r="W192" s="473"/>
    </row>
    <row r="193" spans="1:23" ht="11.25"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Financial Services</v>
      </c>
      <c r="B196" s="440"/>
      <c r="C196" s="503">
        <f t="shared" ref="C196:K196" si="25">SUM(C197:C206)</f>
        <v>179660473.83999997</v>
      </c>
      <c r="D196" s="444">
        <f t="shared" si="25"/>
        <v>111690531</v>
      </c>
      <c r="E196" s="441">
        <f t="shared" si="25"/>
        <v>111690531</v>
      </c>
      <c r="F196" s="443">
        <f t="shared" si="25"/>
        <v>12975531.700000001</v>
      </c>
      <c r="G196" s="441">
        <f t="shared" si="25"/>
        <v>43159208.580000006</v>
      </c>
      <c r="H196" s="443">
        <f t="shared" si="25"/>
        <v>38397201.969999999</v>
      </c>
      <c r="I196" s="44">
        <f t="shared" si="16"/>
        <v>4762006.6100000069</v>
      </c>
      <c r="J196" s="330">
        <f t="shared" si="17"/>
        <v>0.12401962553731379</v>
      </c>
      <c r="K196" s="442">
        <f t="shared" si="25"/>
        <v>111690531</v>
      </c>
      <c r="L196" s="48"/>
      <c r="M196" s="473"/>
      <c r="N196" s="473"/>
      <c r="O196" s="473"/>
      <c r="P196" s="473"/>
      <c r="Q196" s="473"/>
      <c r="R196" s="473"/>
      <c r="S196" s="473"/>
      <c r="T196" s="473"/>
      <c r="U196" s="473"/>
      <c r="V196" s="473"/>
      <c r="W196" s="473"/>
    </row>
    <row r="197" spans="1:23" ht="11.25" customHeight="1" x14ac:dyDescent="0.25">
      <c r="A197" s="407" t="str">
        <f>'Org structure'!E25</f>
        <v>3.1 - Administration Finance</v>
      </c>
      <c r="B197" s="445"/>
      <c r="C197" s="745">
        <v>76515308.530000001</v>
      </c>
      <c r="D197" s="746">
        <v>40495037</v>
      </c>
      <c r="E197" s="746">
        <v>40495037</v>
      </c>
      <c r="F197" s="747">
        <v>6670400.6000000006</v>
      </c>
      <c r="G197" s="734">
        <v>15071218.380000001</v>
      </c>
      <c r="H197" s="747">
        <v>10265889.289999999</v>
      </c>
      <c r="I197" s="44">
        <f t="shared" si="16"/>
        <v>4805329.0900000017</v>
      </c>
      <c r="J197" s="330">
        <f t="shared" si="17"/>
        <v>0.46808697758711193</v>
      </c>
      <c r="K197" s="748">
        <v>40495037</v>
      </c>
      <c r="L197" s="48"/>
      <c r="M197" s="473"/>
      <c r="N197" s="473"/>
      <c r="O197" s="473"/>
      <c r="P197" s="473"/>
      <c r="Q197" s="473"/>
      <c r="R197" s="473"/>
      <c r="S197" s="473"/>
      <c r="T197" s="473"/>
      <c r="U197" s="473"/>
      <c r="V197" s="473"/>
      <c r="W197" s="473"/>
    </row>
    <row r="198" spans="1:23" ht="11.25" customHeight="1" x14ac:dyDescent="0.25">
      <c r="A198" s="407" t="str">
        <f>'Org structure'!E26</f>
        <v>3.2 - Budget office</v>
      </c>
      <c r="B198" s="445"/>
      <c r="C198" s="745">
        <v>11317009.719999997</v>
      </c>
      <c r="D198" s="746">
        <v>15544016</v>
      </c>
      <c r="E198" s="746">
        <v>15544016</v>
      </c>
      <c r="F198" s="747">
        <v>530559.13</v>
      </c>
      <c r="G198" s="734">
        <v>2538181.4200000004</v>
      </c>
      <c r="H198" s="747">
        <v>6447760.5099999998</v>
      </c>
      <c r="I198" s="44">
        <f t="shared" ref="I198:I261" si="26">G198-H198</f>
        <v>-3909579.0899999994</v>
      </c>
      <c r="J198" s="330">
        <f t="shared" ref="J198:J261" si="27">IF(I198=0,"",I198/H198)</f>
        <v>-0.60634682133998796</v>
      </c>
      <c r="K198" s="748">
        <v>15544016</v>
      </c>
      <c r="L198" s="48"/>
      <c r="M198" s="473"/>
      <c r="N198" s="473"/>
      <c r="O198" s="473"/>
      <c r="P198" s="473"/>
      <c r="Q198" s="473"/>
      <c r="R198" s="473"/>
      <c r="S198" s="473"/>
      <c r="T198" s="473"/>
      <c r="U198" s="473"/>
      <c r="V198" s="473"/>
      <c r="W198" s="473"/>
    </row>
    <row r="199" spans="1:23" ht="11.25" customHeight="1" x14ac:dyDescent="0.25">
      <c r="A199" s="407" t="str">
        <f>'Org structure'!E27</f>
        <v>3.3 - Revenue</v>
      </c>
      <c r="B199" s="445"/>
      <c r="C199" s="745">
        <v>68747592.529999986</v>
      </c>
      <c r="D199" s="746">
        <v>36102734</v>
      </c>
      <c r="E199" s="746">
        <v>36102734</v>
      </c>
      <c r="F199" s="747">
        <v>2412662.4300000002</v>
      </c>
      <c r="G199" s="734">
        <v>13170226.840000004</v>
      </c>
      <c r="H199" s="747">
        <v>11209249.9</v>
      </c>
      <c r="I199" s="44">
        <f t="shared" si="26"/>
        <v>1960976.9400000032</v>
      </c>
      <c r="J199" s="330">
        <f t="shared" si="27"/>
        <v>0.17494274438470706</v>
      </c>
      <c r="K199" s="748">
        <v>36102734</v>
      </c>
      <c r="L199" s="48"/>
      <c r="M199" s="473"/>
      <c r="N199" s="473"/>
      <c r="O199" s="473"/>
      <c r="P199" s="473"/>
      <c r="Q199" s="473"/>
      <c r="R199" s="473"/>
      <c r="S199" s="473"/>
      <c r="T199" s="473"/>
      <c r="U199" s="473"/>
      <c r="V199" s="473"/>
      <c r="W199" s="473"/>
    </row>
    <row r="200" spans="1:23" ht="11.25" customHeight="1" x14ac:dyDescent="0.25">
      <c r="A200" s="407" t="str">
        <f>'Org structure'!E28</f>
        <v>3.4 - Expenditure</v>
      </c>
      <c r="B200" s="445"/>
      <c r="C200" s="745">
        <v>13258426.75</v>
      </c>
      <c r="D200" s="746">
        <v>9245597</v>
      </c>
      <c r="E200" s="746">
        <v>9245597</v>
      </c>
      <c r="F200" s="747">
        <v>2611665.46</v>
      </c>
      <c r="G200" s="734">
        <v>7116235.299999998</v>
      </c>
      <c r="H200" s="747">
        <v>5987948.8699999992</v>
      </c>
      <c r="I200" s="44">
        <f t="shared" si="26"/>
        <v>1128286.4299999988</v>
      </c>
      <c r="J200" s="330">
        <f t="shared" si="27"/>
        <v>0.18842619643143327</v>
      </c>
      <c r="K200" s="748">
        <v>9245597</v>
      </c>
      <c r="L200" s="48"/>
      <c r="M200" s="473"/>
      <c r="N200" s="473"/>
      <c r="O200" s="473"/>
      <c r="P200" s="473"/>
      <c r="Q200" s="473"/>
      <c r="R200" s="473"/>
      <c r="S200" s="473"/>
      <c r="T200" s="473"/>
      <c r="U200" s="473"/>
      <c r="V200" s="473"/>
      <c r="W200" s="473"/>
    </row>
    <row r="201" spans="1:23" ht="11.25" customHeight="1" x14ac:dyDescent="0.25">
      <c r="A201" s="407" t="str">
        <f>'Org structure'!E29</f>
        <v>3.5 - Inventory</v>
      </c>
      <c r="B201" s="445"/>
      <c r="C201" s="394">
        <v>5631047.7999999989</v>
      </c>
      <c r="D201" s="383">
        <v>6137991</v>
      </c>
      <c r="E201" s="383">
        <v>6137991</v>
      </c>
      <c r="F201" s="472">
        <v>379466.44</v>
      </c>
      <c r="G201" s="384">
        <v>2700992.0399999996</v>
      </c>
      <c r="H201" s="472">
        <v>2483461.92</v>
      </c>
      <c r="I201" s="44">
        <f t="shared" si="26"/>
        <v>217530.11999999965</v>
      </c>
      <c r="J201" s="330">
        <f t="shared" si="27"/>
        <v>8.7591486001122029E-2</v>
      </c>
      <c r="K201" s="395">
        <v>6137991</v>
      </c>
      <c r="L201" s="48"/>
      <c r="M201" s="473"/>
      <c r="N201" s="473"/>
      <c r="O201" s="473"/>
      <c r="P201" s="473"/>
      <c r="Q201" s="473"/>
      <c r="R201" s="473"/>
      <c r="S201" s="473"/>
      <c r="T201" s="473"/>
      <c r="U201" s="473"/>
      <c r="V201" s="473"/>
      <c r="W201" s="473"/>
    </row>
    <row r="202" spans="1:23" ht="11.25" customHeight="1" x14ac:dyDescent="0.25">
      <c r="A202" s="407" t="str">
        <f>'Org structure'!E30</f>
        <v>3.6 - Supply Chain Management</v>
      </c>
      <c r="B202" s="445"/>
      <c r="C202" s="394">
        <v>4191088.5099999993</v>
      </c>
      <c r="D202" s="383">
        <v>4165156</v>
      </c>
      <c r="E202" s="383">
        <v>4165156</v>
      </c>
      <c r="F202" s="472">
        <v>370777.6399999999</v>
      </c>
      <c r="G202" s="384">
        <v>2562354.6</v>
      </c>
      <c r="H202" s="472">
        <v>2002891.48</v>
      </c>
      <c r="I202" s="44">
        <f t="shared" si="26"/>
        <v>559463.12000000011</v>
      </c>
      <c r="J202" s="330">
        <f t="shared" si="27"/>
        <v>0.27932772473524131</v>
      </c>
      <c r="K202" s="395">
        <v>4165156</v>
      </c>
      <c r="L202" s="48"/>
      <c r="M202" s="473"/>
      <c r="N202" s="473"/>
      <c r="O202" s="473"/>
      <c r="P202" s="473"/>
      <c r="Q202" s="473"/>
      <c r="R202" s="473"/>
      <c r="S202" s="473"/>
      <c r="T202" s="473"/>
      <c r="U202" s="473"/>
      <c r="V202" s="473"/>
      <c r="W202" s="473"/>
    </row>
    <row r="203" spans="1:23" ht="11.25" customHeight="1" x14ac:dyDescent="0.25">
      <c r="A203" s="407">
        <f>'Org structure'!E31</f>
        <v>0</v>
      </c>
      <c r="B203" s="445"/>
      <c r="C203" s="394"/>
      <c r="D203" s="383"/>
      <c r="E203" s="383"/>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49685045.039999992</v>
      </c>
      <c r="D207" s="444">
        <f t="shared" si="28"/>
        <v>63300012.329999998</v>
      </c>
      <c r="E207" s="441">
        <f t="shared" si="28"/>
        <v>63300012.329999998</v>
      </c>
      <c r="F207" s="443">
        <f t="shared" si="28"/>
        <v>4252105.93</v>
      </c>
      <c r="G207" s="441">
        <f t="shared" si="28"/>
        <v>28100041.970000006</v>
      </c>
      <c r="H207" s="443">
        <f t="shared" si="28"/>
        <v>24956975.990000002</v>
      </c>
      <c r="I207" s="44">
        <f t="shared" si="26"/>
        <v>3143065.9800000042</v>
      </c>
      <c r="J207" s="330">
        <f t="shared" si="27"/>
        <v>0.12593937587868809</v>
      </c>
      <c r="K207" s="442">
        <f t="shared" si="28"/>
        <v>63300012.329999998</v>
      </c>
      <c r="L207" s="48"/>
      <c r="M207" s="473"/>
      <c r="N207" s="473"/>
      <c r="O207" s="473"/>
      <c r="P207" s="473"/>
      <c r="Q207" s="473"/>
      <c r="R207" s="473"/>
      <c r="S207" s="473"/>
      <c r="T207" s="473"/>
      <c r="U207" s="473"/>
      <c r="V207" s="473"/>
      <c r="W207" s="473"/>
    </row>
    <row r="208" spans="1:23" ht="11.25" customHeight="1" x14ac:dyDescent="0.25">
      <c r="A208" s="407" t="str">
        <f>'Org structure'!E36</f>
        <v>4.1 - Communications</v>
      </c>
      <c r="B208" s="445"/>
      <c r="C208" s="394">
        <v>3887705.8499999992</v>
      </c>
      <c r="D208" s="383">
        <v>3817572</v>
      </c>
      <c r="E208" s="383">
        <v>3817572</v>
      </c>
      <c r="F208" s="472">
        <v>318709.73</v>
      </c>
      <c r="G208" s="384">
        <v>1807894.23</v>
      </c>
      <c r="H208" s="472">
        <v>1909642.75</v>
      </c>
      <c r="I208" s="44">
        <f t="shared" si="26"/>
        <v>-101748.52000000002</v>
      </c>
      <c r="J208" s="330">
        <f t="shared" si="27"/>
        <v>-5.3281442301184354E-2</v>
      </c>
      <c r="K208" s="395">
        <v>3817572</v>
      </c>
      <c r="L208" s="48"/>
      <c r="M208" s="473"/>
      <c r="N208" s="473"/>
      <c r="O208" s="473"/>
      <c r="P208" s="473"/>
      <c r="Q208" s="473"/>
      <c r="R208" s="473"/>
      <c r="S208" s="473"/>
      <c r="T208" s="473"/>
      <c r="U208" s="473"/>
      <c r="V208" s="473"/>
      <c r="W208" s="473"/>
    </row>
    <row r="209" spans="1:23" ht="11.25" customHeight="1" x14ac:dyDescent="0.25">
      <c r="A209" s="407" t="str">
        <f>'Org structure'!E37</f>
        <v>4.2 - Public Participation &amp; Project Support</v>
      </c>
      <c r="B209" s="445"/>
      <c r="C209" s="394">
        <v>12209472.139999999</v>
      </c>
      <c r="D209" s="383">
        <v>15236355.329999998</v>
      </c>
      <c r="E209" s="383">
        <v>15236355.329999998</v>
      </c>
      <c r="F209" s="472">
        <v>1220389.73</v>
      </c>
      <c r="G209" s="384">
        <v>7678471.5</v>
      </c>
      <c r="H209" s="472">
        <v>6362399.0900000008</v>
      </c>
      <c r="I209" s="44">
        <f t="shared" si="26"/>
        <v>1316072.4099999992</v>
      </c>
      <c r="J209" s="330">
        <f t="shared" si="27"/>
        <v>0.20685159660426128</v>
      </c>
      <c r="K209" s="395">
        <v>15236355.329999998</v>
      </c>
      <c r="L209" s="48"/>
      <c r="M209" s="473"/>
      <c r="N209" s="473"/>
      <c r="O209" s="473"/>
      <c r="P209" s="473"/>
      <c r="Q209" s="473"/>
      <c r="R209" s="473"/>
      <c r="S209" s="473"/>
      <c r="T209" s="473"/>
      <c r="U209" s="473"/>
      <c r="V209" s="473"/>
      <c r="W209" s="473"/>
    </row>
    <row r="210" spans="1:23" ht="11.25" customHeight="1" x14ac:dyDescent="0.25">
      <c r="A210" s="407" t="str">
        <f>'Org structure'!E38</f>
        <v>4.3 - Information Technology</v>
      </c>
      <c r="B210" s="445"/>
      <c r="C210" s="394">
        <v>10598289.419999998</v>
      </c>
      <c r="D210" s="383">
        <v>17560754</v>
      </c>
      <c r="E210" s="383">
        <v>17560754</v>
      </c>
      <c r="F210" s="472">
        <v>774251.23999999987</v>
      </c>
      <c r="G210" s="384">
        <v>6099596.5700000012</v>
      </c>
      <c r="H210" s="472">
        <v>5070934.41</v>
      </c>
      <c r="I210" s="44">
        <f t="shared" si="26"/>
        <v>1028662.1600000011</v>
      </c>
      <c r="J210" s="330">
        <f t="shared" si="27"/>
        <v>0.20285455831798091</v>
      </c>
      <c r="K210" s="395">
        <v>17560754</v>
      </c>
      <c r="L210" s="48"/>
      <c r="M210" s="473"/>
      <c r="N210" s="473"/>
      <c r="O210" s="473"/>
      <c r="P210" s="473"/>
      <c r="Q210" s="473"/>
      <c r="R210" s="473"/>
      <c r="S210" s="473"/>
      <c r="T210" s="473"/>
      <c r="U210" s="473"/>
      <c r="V210" s="473"/>
      <c r="W210" s="473"/>
    </row>
    <row r="211" spans="1:23" ht="11.25" customHeight="1" x14ac:dyDescent="0.25">
      <c r="A211" s="407" t="str">
        <f>'Org structure'!E39</f>
        <v>4.4 - Administration HR &amp; Corporate</v>
      </c>
      <c r="B211" s="445"/>
      <c r="C211" s="394">
        <v>1983478.3400000003</v>
      </c>
      <c r="D211" s="383">
        <v>2838444</v>
      </c>
      <c r="E211" s="383">
        <v>2838444</v>
      </c>
      <c r="F211" s="472">
        <v>139121.32</v>
      </c>
      <c r="G211" s="384">
        <v>1022044.5200000001</v>
      </c>
      <c r="H211" s="472">
        <v>992411.21</v>
      </c>
      <c r="I211" s="44">
        <f t="shared" si="26"/>
        <v>29633.310000000172</v>
      </c>
      <c r="J211" s="330">
        <f t="shared" si="27"/>
        <v>2.9859910590893237E-2</v>
      </c>
      <c r="K211" s="395">
        <v>2838444</v>
      </c>
      <c r="L211" s="48"/>
      <c r="M211" s="473"/>
      <c r="N211" s="473"/>
      <c r="O211" s="473"/>
      <c r="P211" s="473"/>
      <c r="Q211" s="473"/>
      <c r="R211" s="473"/>
      <c r="S211" s="473"/>
      <c r="T211" s="473"/>
      <c r="U211" s="473"/>
      <c r="V211" s="473"/>
      <c r="W211" s="473"/>
    </row>
    <row r="212" spans="1:23" ht="11.25" customHeight="1" x14ac:dyDescent="0.25">
      <c r="A212" s="407" t="str">
        <f>'Org structure'!E40</f>
        <v>4.5 - Human Resources</v>
      </c>
      <c r="B212" s="445"/>
      <c r="C212" s="394">
        <v>9556065.870000001</v>
      </c>
      <c r="D212" s="383">
        <v>13353482</v>
      </c>
      <c r="E212" s="383">
        <v>13353482</v>
      </c>
      <c r="F212" s="472">
        <v>1138311.56</v>
      </c>
      <c r="G212" s="384">
        <v>7010947.1699999999</v>
      </c>
      <c r="H212" s="472">
        <v>6163742.5499999998</v>
      </c>
      <c r="I212" s="44">
        <f t="shared" si="26"/>
        <v>847204.62000000011</v>
      </c>
      <c r="J212" s="330">
        <f t="shared" si="27"/>
        <v>0.13744970902459255</v>
      </c>
      <c r="K212" s="395">
        <v>13353482</v>
      </c>
      <c r="L212" s="48"/>
      <c r="M212" s="473"/>
      <c r="N212" s="473"/>
      <c r="O212" s="473"/>
      <c r="P212" s="473"/>
      <c r="Q212" s="473"/>
      <c r="R212" s="473"/>
      <c r="S212" s="473"/>
      <c r="T212" s="473"/>
      <c r="U212" s="473"/>
      <c r="V212" s="473"/>
      <c r="W212" s="473"/>
    </row>
    <row r="213" spans="1:23" ht="11.25" customHeight="1" x14ac:dyDescent="0.25">
      <c r="A213" s="407" t="str">
        <f>'Org structure'!E41</f>
        <v>4.6 - Occupational Health &amp; safety</v>
      </c>
      <c r="B213" s="445"/>
      <c r="C213" s="394">
        <v>117658.29</v>
      </c>
      <c r="D213" s="383">
        <v>335075</v>
      </c>
      <c r="E213" s="383">
        <v>335075</v>
      </c>
      <c r="F213" s="472">
        <v>0</v>
      </c>
      <c r="G213" s="384">
        <v>36565.96</v>
      </c>
      <c r="H213" s="472">
        <v>51710.820000000007</v>
      </c>
      <c r="I213" s="44">
        <f t="shared" si="26"/>
        <v>-15144.860000000008</v>
      </c>
      <c r="J213" s="330">
        <f t="shared" si="27"/>
        <v>-0.29287603638851611</v>
      </c>
      <c r="K213" s="395">
        <v>335075</v>
      </c>
      <c r="L213" s="48"/>
      <c r="M213" s="473"/>
      <c r="N213" s="473"/>
      <c r="O213" s="473"/>
      <c r="P213" s="473"/>
      <c r="Q213" s="473"/>
      <c r="R213" s="473"/>
      <c r="S213" s="473"/>
      <c r="T213" s="473"/>
      <c r="U213" s="473"/>
      <c r="V213" s="473"/>
      <c r="W213" s="473"/>
    </row>
    <row r="214" spans="1:23" ht="11.25" customHeight="1" x14ac:dyDescent="0.25">
      <c r="A214" s="407" t="str">
        <f>'Org structure'!E42</f>
        <v>4.8 - Corporate Services</v>
      </c>
      <c r="B214" s="445"/>
      <c r="C214" s="394">
        <v>11332375.129999999</v>
      </c>
      <c r="D214" s="383">
        <v>10158330</v>
      </c>
      <c r="E214" s="383">
        <v>10158330</v>
      </c>
      <c r="F214" s="472">
        <v>661322.35000000021</v>
      </c>
      <c r="G214" s="384">
        <v>4444522.0200000014</v>
      </c>
      <c r="H214" s="472">
        <v>4406135.16</v>
      </c>
      <c r="I214" s="44">
        <f t="shared" si="26"/>
        <v>38386.860000001267</v>
      </c>
      <c r="J214" s="330">
        <f t="shared" si="27"/>
        <v>8.7121385536437484E-3</v>
      </c>
      <c r="K214" s="395">
        <v>10158330</v>
      </c>
      <c r="L214" s="48"/>
      <c r="M214" s="473"/>
      <c r="N214" s="473"/>
      <c r="O214" s="473"/>
      <c r="P214" s="473"/>
      <c r="Q214" s="473"/>
      <c r="R214" s="473"/>
      <c r="S214" s="473"/>
      <c r="T214" s="473"/>
      <c r="U214" s="473"/>
      <c r="V214" s="473"/>
      <c r="W214" s="473"/>
    </row>
    <row r="215" spans="1:23" ht="11.25"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Community Services</v>
      </c>
      <c r="B218" s="440"/>
      <c r="C218" s="503">
        <f t="shared" ref="C218:K218" si="29">SUM(C219:C228)</f>
        <v>138014682.60000002</v>
      </c>
      <c r="D218" s="444">
        <f t="shared" si="29"/>
        <v>139371924.92000002</v>
      </c>
      <c r="E218" s="441">
        <f t="shared" si="29"/>
        <v>139371924.92000002</v>
      </c>
      <c r="F218" s="443">
        <f t="shared" si="29"/>
        <v>9005898.3600000013</v>
      </c>
      <c r="G218" s="441">
        <f t="shared" si="29"/>
        <v>57499583.930000007</v>
      </c>
      <c r="H218" s="443">
        <f t="shared" si="29"/>
        <v>53266458.259999998</v>
      </c>
      <c r="I218" s="44">
        <f t="shared" si="26"/>
        <v>4233125.6700000092</v>
      </c>
      <c r="J218" s="330">
        <f t="shared" si="27"/>
        <v>7.9470755298533521E-2</v>
      </c>
      <c r="K218" s="442">
        <f t="shared" si="29"/>
        <v>139371924.92000002</v>
      </c>
      <c r="L218" s="48"/>
      <c r="M218" s="473"/>
      <c r="N218" s="473"/>
      <c r="O218" s="473"/>
      <c r="P218" s="473"/>
      <c r="Q218" s="473"/>
      <c r="R218" s="473"/>
      <c r="S218" s="473"/>
      <c r="T218" s="473"/>
      <c r="U218" s="473"/>
      <c r="V218" s="473"/>
      <c r="W218" s="473"/>
    </row>
    <row r="219" spans="1:23" ht="11.25" customHeight="1" x14ac:dyDescent="0.25">
      <c r="A219" s="407" t="str">
        <f>'Org structure'!E47</f>
        <v>5.1 - Parks &amp; Recreation</v>
      </c>
      <c r="B219" s="445"/>
      <c r="C219" s="394">
        <v>23016098.579999998</v>
      </c>
      <c r="D219" s="383">
        <v>27120105</v>
      </c>
      <c r="E219" s="383">
        <v>27120105</v>
      </c>
      <c r="F219" s="472">
        <v>1686660.9300000002</v>
      </c>
      <c r="G219" s="384">
        <v>11631654.900000002</v>
      </c>
      <c r="H219" s="472">
        <v>10978072.350000001</v>
      </c>
      <c r="I219" s="44">
        <f t="shared" si="26"/>
        <v>653582.55000000075</v>
      </c>
      <c r="J219" s="330">
        <f t="shared" si="27"/>
        <v>5.9535274423656047E-2</v>
      </c>
      <c r="K219" s="395">
        <v>27120105</v>
      </c>
      <c r="L219" s="48"/>
      <c r="M219" s="473"/>
      <c r="N219" s="473"/>
      <c r="O219" s="473"/>
      <c r="P219" s="473"/>
      <c r="Q219" s="473"/>
      <c r="R219" s="473"/>
      <c r="S219" s="473"/>
      <c r="T219" s="473"/>
      <c r="U219" s="473"/>
      <c r="V219" s="473"/>
      <c r="W219" s="473"/>
    </row>
    <row r="220" spans="1:23" ht="11.25" customHeight="1" x14ac:dyDescent="0.25">
      <c r="A220" s="407" t="str">
        <f>'Org structure'!E48</f>
        <v>5.2 - Administration Community Services</v>
      </c>
      <c r="B220" s="445"/>
      <c r="C220" s="394">
        <v>10107495.620000001</v>
      </c>
      <c r="D220" s="383">
        <v>895280</v>
      </c>
      <c r="E220" s="383">
        <v>895280</v>
      </c>
      <c r="F220" s="472">
        <v>919.78</v>
      </c>
      <c r="G220" s="384">
        <v>19581.239999999998</v>
      </c>
      <c r="H220" s="472">
        <v>30892.25</v>
      </c>
      <c r="I220" s="44">
        <f t="shared" si="26"/>
        <v>-11311.010000000002</v>
      </c>
      <c r="J220" s="330">
        <f t="shared" si="27"/>
        <v>-0.36614393577677257</v>
      </c>
      <c r="K220" s="395">
        <v>895280</v>
      </c>
      <c r="L220" s="48"/>
      <c r="M220" s="473"/>
      <c r="N220" s="473"/>
      <c r="O220" s="473"/>
      <c r="P220" s="473"/>
      <c r="Q220" s="473"/>
      <c r="R220" s="473"/>
      <c r="S220" s="473"/>
      <c r="T220" s="473"/>
      <c r="U220" s="473"/>
      <c r="V220" s="473"/>
      <c r="W220" s="473"/>
    </row>
    <row r="221" spans="1:23" ht="11.25" customHeight="1" x14ac:dyDescent="0.25">
      <c r="A221" s="407" t="str">
        <f>'Org structure'!E49</f>
        <v>5.3 - Community Health Services</v>
      </c>
      <c r="B221" s="445"/>
      <c r="C221" s="394">
        <v>54267.740000000005</v>
      </c>
      <c r="D221" s="383">
        <v>227762</v>
      </c>
      <c r="E221" s="383">
        <v>227762</v>
      </c>
      <c r="F221" s="472">
        <v>306.58999999999997</v>
      </c>
      <c r="G221" s="384">
        <v>5537.48</v>
      </c>
      <c r="H221" s="472">
        <v>7224.97</v>
      </c>
      <c r="I221" s="44">
        <f t="shared" si="26"/>
        <v>-1687.4900000000007</v>
      </c>
      <c r="J221" s="330">
        <f t="shared" si="27"/>
        <v>-0.23356359957203984</v>
      </c>
      <c r="K221" s="395">
        <v>227762</v>
      </c>
      <c r="L221" s="48"/>
      <c r="M221" s="473"/>
      <c r="N221" s="473"/>
      <c r="O221" s="473"/>
      <c r="P221" s="473"/>
      <c r="Q221" s="473"/>
      <c r="R221" s="473"/>
      <c r="S221" s="473"/>
      <c r="T221" s="473"/>
      <c r="U221" s="473"/>
      <c r="V221" s="473"/>
      <c r="W221" s="473"/>
    </row>
    <row r="222" spans="1:23" ht="11.25" customHeight="1" x14ac:dyDescent="0.25">
      <c r="A222" s="407" t="str">
        <f>'Org structure'!E50</f>
        <v>5.4 - Enviromental Health Services</v>
      </c>
      <c r="B222" s="445"/>
      <c r="C222" s="394">
        <v>9049393.5200000033</v>
      </c>
      <c r="D222" s="383">
        <v>10317183</v>
      </c>
      <c r="E222" s="383">
        <v>10317183</v>
      </c>
      <c r="F222" s="472">
        <v>780567.16</v>
      </c>
      <c r="G222" s="384">
        <v>5186189.2600000007</v>
      </c>
      <c r="H222" s="472">
        <v>4529068.26</v>
      </c>
      <c r="I222" s="44">
        <f t="shared" si="26"/>
        <v>657121.00000000093</v>
      </c>
      <c r="J222" s="330">
        <f t="shared" si="27"/>
        <v>0.14508966574948484</v>
      </c>
      <c r="K222" s="395">
        <v>10317183</v>
      </c>
      <c r="L222" s="48"/>
      <c r="M222" s="473"/>
      <c r="N222" s="473"/>
      <c r="O222" s="473"/>
      <c r="P222" s="473"/>
      <c r="Q222" s="473"/>
      <c r="R222" s="473"/>
      <c r="S222" s="473"/>
      <c r="T222" s="473"/>
      <c r="U222" s="473"/>
      <c r="V222" s="473"/>
      <c r="W222" s="473"/>
    </row>
    <row r="223" spans="1:23" ht="11.25" customHeight="1" x14ac:dyDescent="0.25">
      <c r="A223" s="407" t="str">
        <f>'Org structure'!E51</f>
        <v>5.5 - Library Services</v>
      </c>
      <c r="B223" s="445"/>
      <c r="C223" s="394">
        <v>8981276.3300000019</v>
      </c>
      <c r="D223" s="383">
        <v>10052528</v>
      </c>
      <c r="E223" s="383">
        <v>10052528</v>
      </c>
      <c r="F223" s="472">
        <v>800941.48000000021</v>
      </c>
      <c r="G223" s="384">
        <v>4822807.9700000016</v>
      </c>
      <c r="H223" s="472">
        <v>4750803.38</v>
      </c>
      <c r="I223" s="44">
        <f t="shared" si="26"/>
        <v>72004.590000001714</v>
      </c>
      <c r="J223" s="330">
        <f t="shared" si="27"/>
        <v>1.5156297628129102E-2</v>
      </c>
      <c r="K223" s="395">
        <v>10052528</v>
      </c>
      <c r="L223" s="48"/>
      <c r="M223" s="473"/>
      <c r="N223" s="473"/>
      <c r="O223" s="473"/>
      <c r="P223" s="473"/>
      <c r="Q223" s="473"/>
      <c r="R223" s="473"/>
      <c r="S223" s="473"/>
      <c r="T223" s="473"/>
      <c r="U223" s="473"/>
      <c r="V223" s="473"/>
      <c r="W223" s="473"/>
    </row>
    <row r="224" spans="1:23" ht="11.25" customHeight="1" x14ac:dyDescent="0.25">
      <c r="A224" s="407" t="str">
        <f>'Org structure'!E52</f>
        <v>5.6 - Solid Waste</v>
      </c>
      <c r="B224" s="445"/>
      <c r="C224" s="394">
        <v>57787113.840000026</v>
      </c>
      <c r="D224" s="383">
        <v>56176750.920000002</v>
      </c>
      <c r="E224" s="383">
        <v>56176750.920000002</v>
      </c>
      <c r="F224" s="472">
        <v>3252685.17</v>
      </c>
      <c r="G224" s="384">
        <v>20404117.129999995</v>
      </c>
      <c r="H224" s="472">
        <v>19253326.700000003</v>
      </c>
      <c r="I224" s="44">
        <f t="shared" si="26"/>
        <v>1150790.4299999923</v>
      </c>
      <c r="J224" s="330">
        <f t="shared" si="27"/>
        <v>5.9770991680102331E-2</v>
      </c>
      <c r="K224" s="395">
        <v>56176750.920000002</v>
      </c>
      <c r="L224" s="48"/>
      <c r="M224" s="473"/>
      <c r="N224" s="473"/>
      <c r="O224" s="473"/>
      <c r="P224" s="473"/>
      <c r="Q224" s="473"/>
      <c r="R224" s="473"/>
      <c r="S224" s="473"/>
      <c r="T224" s="473"/>
      <c r="U224" s="473"/>
      <c r="V224" s="473"/>
      <c r="W224" s="473"/>
    </row>
    <row r="225" spans="1:23" ht="11.25" customHeight="1" x14ac:dyDescent="0.25">
      <c r="A225" s="407" t="str">
        <f>'Org structure'!E53</f>
        <v>5.7 - Street Cleansing</v>
      </c>
      <c r="B225" s="445"/>
      <c r="C225" s="394">
        <v>24502764.320000004</v>
      </c>
      <c r="D225" s="383">
        <v>28817126</v>
      </c>
      <c r="E225" s="383">
        <v>28817126</v>
      </c>
      <c r="F225" s="472">
        <v>2156482.1500000004</v>
      </c>
      <c r="G225" s="384">
        <v>13180322.370000001</v>
      </c>
      <c r="H225" s="472">
        <v>11498061.73</v>
      </c>
      <c r="I225" s="44">
        <f t="shared" si="26"/>
        <v>1682260.6400000006</v>
      </c>
      <c r="J225" s="330">
        <f t="shared" si="27"/>
        <v>0.14630819345931625</v>
      </c>
      <c r="K225" s="395">
        <v>28817126</v>
      </c>
      <c r="L225" s="48"/>
      <c r="M225" s="473"/>
      <c r="N225" s="473"/>
      <c r="O225" s="473"/>
      <c r="P225" s="473"/>
      <c r="Q225" s="473"/>
      <c r="R225" s="473"/>
      <c r="S225" s="473"/>
      <c r="T225" s="473"/>
      <c r="U225" s="473"/>
      <c r="V225" s="473"/>
      <c r="W225" s="473"/>
    </row>
    <row r="226" spans="1:23" ht="11.25" customHeight="1" x14ac:dyDescent="0.25">
      <c r="A226" s="407" t="str">
        <f>'Org structure'!E54</f>
        <v>5.8 - Public Toilets</v>
      </c>
      <c r="B226" s="445"/>
      <c r="C226" s="394">
        <v>4516272.6500000004</v>
      </c>
      <c r="D226" s="383">
        <v>5765190</v>
      </c>
      <c r="E226" s="383">
        <v>5765190</v>
      </c>
      <c r="F226" s="472">
        <v>327335.09999999998</v>
      </c>
      <c r="G226" s="384">
        <v>2249373.58</v>
      </c>
      <c r="H226" s="472">
        <v>2219008.62</v>
      </c>
      <c r="I226" s="44">
        <f t="shared" si="26"/>
        <v>30364.959999999963</v>
      </c>
      <c r="J226" s="330">
        <f t="shared" si="27"/>
        <v>1.3684020749770662E-2</v>
      </c>
      <c r="K226" s="395">
        <v>5765190</v>
      </c>
      <c r="L226" s="48"/>
      <c r="M226" s="473"/>
      <c r="N226" s="473"/>
      <c r="O226" s="473"/>
      <c r="P226" s="473"/>
      <c r="Q226" s="473"/>
      <c r="R226" s="473"/>
      <c r="S226" s="473"/>
      <c r="T226" s="473"/>
      <c r="U226" s="473"/>
      <c r="V226" s="473"/>
      <c r="W226" s="473"/>
    </row>
    <row r="227" spans="1:23" ht="11.25" customHeight="1" x14ac:dyDescent="0.25">
      <c r="A227" s="407">
        <f>'Org structure'!E55</f>
        <v>0</v>
      </c>
      <c r="B227" s="445"/>
      <c r="C227" s="394"/>
      <c r="D227" s="383"/>
      <c r="E227" s="383"/>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Community Services</v>
      </c>
      <c r="B229" s="440"/>
      <c r="C229" s="503">
        <f t="shared" ref="C229:K229" si="30">SUM(C230:C239)</f>
        <v>53110645.079999998</v>
      </c>
      <c r="D229" s="444">
        <f t="shared" si="30"/>
        <v>120429445</v>
      </c>
      <c r="E229" s="441">
        <f t="shared" si="30"/>
        <v>120429445</v>
      </c>
      <c r="F229" s="443">
        <f t="shared" si="30"/>
        <v>9147809.4899999984</v>
      </c>
      <c r="G229" s="441">
        <f t="shared" si="30"/>
        <v>55525851.559999995</v>
      </c>
      <c r="H229" s="443">
        <f t="shared" si="30"/>
        <v>45215153.089999996</v>
      </c>
      <c r="I229" s="44">
        <f t="shared" si="26"/>
        <v>10310698.469999999</v>
      </c>
      <c r="J229" s="330">
        <f t="shared" si="27"/>
        <v>0.22803634988201252</v>
      </c>
      <c r="K229" s="442">
        <f t="shared" si="30"/>
        <v>120429445</v>
      </c>
      <c r="L229" s="48"/>
      <c r="M229" s="473"/>
      <c r="N229" s="473"/>
      <c r="O229" s="473"/>
      <c r="P229" s="473"/>
      <c r="Q229" s="473"/>
      <c r="R229" s="473"/>
      <c r="S229" s="473"/>
      <c r="T229" s="473"/>
      <c r="U229" s="473"/>
      <c r="V229" s="473"/>
      <c r="W229" s="473"/>
    </row>
    <row r="230" spans="1:23" ht="11.25" customHeight="1" x14ac:dyDescent="0.25">
      <c r="A230" s="407" t="str">
        <f>'Org structure'!E58</f>
        <v>6.2 - Administration Transport,safety,Security</v>
      </c>
      <c r="B230" s="445"/>
      <c r="C230" s="394">
        <v>18063953.050000001</v>
      </c>
      <c r="D230" s="383">
        <v>21421667</v>
      </c>
      <c r="E230" s="383">
        <v>21421667</v>
      </c>
      <c r="F230" s="472">
        <v>2465376.63</v>
      </c>
      <c r="G230" s="384">
        <v>13786940.809999997</v>
      </c>
      <c r="H230" s="472">
        <v>7808967.9199999999</v>
      </c>
      <c r="I230" s="44">
        <f t="shared" si="26"/>
        <v>5977972.8899999969</v>
      </c>
      <c r="J230" s="330">
        <f t="shared" si="27"/>
        <v>0.76552662928598592</v>
      </c>
      <c r="K230" s="395">
        <v>21421667</v>
      </c>
      <c r="L230" s="48"/>
      <c r="M230" s="473"/>
      <c r="N230" s="473"/>
      <c r="O230" s="473"/>
      <c r="P230" s="473"/>
      <c r="Q230" s="473"/>
      <c r="R230" s="473"/>
      <c r="S230" s="473"/>
      <c r="T230" s="473"/>
      <c r="U230" s="473"/>
      <c r="V230" s="473"/>
      <c r="W230" s="473"/>
    </row>
    <row r="231" spans="1:23" ht="11.25" customHeight="1" x14ac:dyDescent="0.25">
      <c r="A231" s="407" t="str">
        <f>'Org structure'!E59</f>
        <v>6.3 - Vehicle licencing</v>
      </c>
      <c r="B231" s="445"/>
      <c r="C231" s="394">
        <v>18863645.389999997</v>
      </c>
      <c r="D231" s="383">
        <v>42981770</v>
      </c>
      <c r="E231" s="383">
        <v>42981770</v>
      </c>
      <c r="F231" s="472">
        <v>5201357.7199999988</v>
      </c>
      <c r="G231" s="384">
        <v>32659646.869999997</v>
      </c>
      <c r="H231" s="472">
        <v>29382914.48</v>
      </c>
      <c r="I231" s="44">
        <f t="shared" si="26"/>
        <v>3276732.3899999969</v>
      </c>
      <c r="J231" s="330">
        <f t="shared" si="27"/>
        <v>0.11151829040752111</v>
      </c>
      <c r="K231" s="395">
        <v>42981770</v>
      </c>
      <c r="L231" s="48"/>
      <c r="M231" s="473"/>
      <c r="N231" s="473"/>
      <c r="O231" s="473"/>
      <c r="P231" s="473"/>
      <c r="Q231" s="473"/>
      <c r="R231" s="473"/>
      <c r="S231" s="473"/>
      <c r="T231" s="473"/>
      <c r="U231" s="473"/>
      <c r="V231" s="473"/>
      <c r="W231" s="473"/>
    </row>
    <row r="232" spans="1:23" ht="11.25" customHeight="1" x14ac:dyDescent="0.25">
      <c r="A232" s="407" t="str">
        <f>'Org structure'!E60</f>
        <v>6.1 - Traffic services</v>
      </c>
      <c r="B232" s="445"/>
      <c r="C232" s="394">
        <v>16183046.640000001</v>
      </c>
      <c r="D232" s="383">
        <v>56026008</v>
      </c>
      <c r="E232" s="383">
        <v>56026008</v>
      </c>
      <c r="F232" s="472">
        <v>1481075.1400000001</v>
      </c>
      <c r="G232" s="384">
        <v>9079263.8800000008</v>
      </c>
      <c r="H232" s="472">
        <v>8023270.6900000004</v>
      </c>
      <c r="I232" s="44">
        <f t="shared" si="26"/>
        <v>1055993.1900000004</v>
      </c>
      <c r="J232" s="330">
        <f t="shared" si="27"/>
        <v>0.13161629848986192</v>
      </c>
      <c r="K232" s="395">
        <v>56026008</v>
      </c>
      <c r="L232" s="48"/>
      <c r="M232" s="473"/>
      <c r="N232" s="473"/>
      <c r="O232" s="473"/>
      <c r="P232" s="473"/>
      <c r="Q232" s="473"/>
      <c r="R232" s="473"/>
      <c r="S232" s="473"/>
      <c r="T232" s="473"/>
      <c r="U232" s="473"/>
      <c r="V232" s="473"/>
      <c r="W232" s="473"/>
    </row>
    <row r="233" spans="1:23" ht="11.25" customHeight="1" x14ac:dyDescent="0.25">
      <c r="A233" s="407">
        <f>'Org structure'!E61</f>
        <v>0</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f>'Org structure'!E62</f>
        <v>0</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66" t="str">
        <f>'Org structure'!A8</f>
        <v>Vote 7 - Electrical Engineering Services</v>
      </c>
      <c r="B240" s="440"/>
      <c r="C240" s="503">
        <f t="shared" ref="C240:K240" si="31">SUM(C241:C250)</f>
        <v>515290068.2900002</v>
      </c>
      <c r="D240" s="444">
        <f t="shared" si="31"/>
        <v>591014579</v>
      </c>
      <c r="E240" s="441">
        <f t="shared" si="31"/>
        <v>591014579</v>
      </c>
      <c r="F240" s="443">
        <f t="shared" si="31"/>
        <v>96044811.899999991</v>
      </c>
      <c r="G240" s="441">
        <f t="shared" si="31"/>
        <v>225936525.90000004</v>
      </c>
      <c r="H240" s="443">
        <f t="shared" si="31"/>
        <v>192117754.57999998</v>
      </c>
      <c r="I240" s="44">
        <f t="shared" si="26"/>
        <v>33818771.320000052</v>
      </c>
      <c r="J240" s="330">
        <f t="shared" si="27"/>
        <v>0.17603147295747482</v>
      </c>
      <c r="K240" s="442">
        <f t="shared" si="31"/>
        <v>591014579</v>
      </c>
      <c r="L240" s="48"/>
      <c r="M240" s="473"/>
      <c r="N240" s="473"/>
      <c r="O240" s="473"/>
      <c r="P240" s="473"/>
      <c r="Q240" s="473"/>
      <c r="R240" s="473"/>
      <c r="S240" s="473"/>
      <c r="T240" s="473"/>
      <c r="U240" s="473"/>
      <c r="V240" s="473"/>
      <c r="W240" s="473"/>
    </row>
    <row r="241" spans="1:23" ht="11.25" customHeight="1" x14ac:dyDescent="0.25">
      <c r="A241" s="407" t="str">
        <f>'Org structure'!E69</f>
        <v>7.1 - Administration Electrical Engineering</v>
      </c>
      <c r="B241" s="445"/>
      <c r="C241" s="394">
        <v>48929579.410000004</v>
      </c>
      <c r="D241" s="383">
        <v>46822968</v>
      </c>
      <c r="E241" s="383">
        <v>46822968</v>
      </c>
      <c r="F241" s="472">
        <v>722774.8899999999</v>
      </c>
      <c r="G241" s="384">
        <v>4553903.66</v>
      </c>
      <c r="H241" s="472">
        <v>5738215.2599999998</v>
      </c>
      <c r="I241" s="44">
        <f t="shared" si="26"/>
        <v>-1184311.5999999996</v>
      </c>
      <c r="J241" s="330">
        <f t="shared" si="27"/>
        <v>-0.20639023569847739</v>
      </c>
      <c r="K241" s="395">
        <v>46822968</v>
      </c>
      <c r="L241" s="48"/>
      <c r="M241" s="473"/>
      <c r="N241" s="473"/>
      <c r="O241" s="473"/>
      <c r="P241" s="473"/>
      <c r="Q241" s="473"/>
      <c r="R241" s="473"/>
      <c r="S241" s="473"/>
      <c r="T241" s="473"/>
      <c r="U241" s="473"/>
      <c r="V241" s="473"/>
      <c r="W241" s="473"/>
    </row>
    <row r="242" spans="1:23" ht="11.25" customHeight="1" x14ac:dyDescent="0.25">
      <c r="A242" s="407" t="str">
        <f>'Org structure'!E70</f>
        <v>7.2 - Operations &amp; Maintenance: Rural</v>
      </c>
      <c r="B242" s="445"/>
      <c r="C242" s="394">
        <v>355911627.70000017</v>
      </c>
      <c r="D242" s="383">
        <v>407096713</v>
      </c>
      <c r="E242" s="383">
        <v>407096713</v>
      </c>
      <c r="F242" s="472">
        <v>61650040.569999993</v>
      </c>
      <c r="G242" s="384">
        <v>155405662.49000004</v>
      </c>
      <c r="H242" s="472">
        <v>126525673.07999998</v>
      </c>
      <c r="I242" s="44">
        <f t="shared" si="26"/>
        <v>28879989.410000056</v>
      </c>
      <c r="J242" s="330">
        <f t="shared" si="27"/>
        <v>0.22825398756614193</v>
      </c>
      <c r="K242" s="395">
        <v>407096713</v>
      </c>
      <c r="L242" s="48"/>
      <c r="M242" s="473"/>
      <c r="N242" s="473"/>
      <c r="O242" s="473"/>
      <c r="P242" s="473"/>
      <c r="Q242" s="473"/>
      <c r="R242" s="473"/>
      <c r="S242" s="473"/>
      <c r="T242" s="473"/>
      <c r="U242" s="473"/>
      <c r="V242" s="473"/>
      <c r="W242" s="473"/>
    </row>
    <row r="243" spans="1:23" ht="11.25" customHeight="1" x14ac:dyDescent="0.25">
      <c r="A243" s="407" t="str">
        <f>'Org structure'!E71</f>
        <v>7.3 - Operations &amp; Maintenance: Town</v>
      </c>
      <c r="B243" s="445"/>
      <c r="C243" s="394">
        <v>110448861.17999999</v>
      </c>
      <c r="D243" s="383">
        <v>137094898</v>
      </c>
      <c r="E243" s="383">
        <v>137094898</v>
      </c>
      <c r="F243" s="472">
        <v>33671996.439999998</v>
      </c>
      <c r="G243" s="384">
        <v>65976959.75</v>
      </c>
      <c r="H243" s="472">
        <v>59853866.240000002</v>
      </c>
      <c r="I243" s="44">
        <f t="shared" si="26"/>
        <v>6123093.5099999979</v>
      </c>
      <c r="J243" s="330">
        <f t="shared" si="27"/>
        <v>0.10230071831028968</v>
      </c>
      <c r="K243" s="395">
        <v>137094898</v>
      </c>
      <c r="L243" s="48"/>
      <c r="M243" s="473"/>
      <c r="N243" s="473"/>
      <c r="O243" s="473"/>
      <c r="P243" s="473"/>
      <c r="Q243" s="473"/>
      <c r="R243" s="473"/>
      <c r="S243" s="473"/>
      <c r="T243" s="473"/>
      <c r="U243" s="473"/>
      <c r="V243" s="473"/>
      <c r="W243" s="473"/>
    </row>
    <row r="244" spans="1:23" ht="11.25"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66" t="str">
        <f>'Org structure'!A9</f>
        <v>Vote 8 - Engineering Services</v>
      </c>
      <c r="B251" s="445"/>
      <c r="C251" s="503">
        <f t="shared" ref="C251:K251" si="32">SUM(C252:C261)</f>
        <v>172739309.49000001</v>
      </c>
      <c r="D251" s="444">
        <f t="shared" si="32"/>
        <v>181486372.71000001</v>
      </c>
      <c r="E251" s="441">
        <f t="shared" si="32"/>
        <v>181486372.71000001</v>
      </c>
      <c r="F251" s="443">
        <f t="shared" si="32"/>
        <v>6551018.080000001</v>
      </c>
      <c r="G251" s="441">
        <f t="shared" si="32"/>
        <v>36355839.019999996</v>
      </c>
      <c r="H251" s="443">
        <f t="shared" si="32"/>
        <v>38658896.700000003</v>
      </c>
      <c r="I251" s="44">
        <f t="shared" si="26"/>
        <v>-2303057.6800000072</v>
      </c>
      <c r="J251" s="330">
        <f t="shared" si="27"/>
        <v>-5.9573807754322354E-2</v>
      </c>
      <c r="K251" s="442">
        <f t="shared" si="32"/>
        <v>181486372.71000001</v>
      </c>
      <c r="L251" s="48"/>
      <c r="M251" s="473"/>
      <c r="N251" s="473"/>
      <c r="O251" s="473"/>
      <c r="P251" s="473"/>
      <c r="Q251" s="473"/>
      <c r="R251" s="473"/>
      <c r="S251" s="473"/>
      <c r="T251" s="473"/>
      <c r="U251" s="473"/>
      <c r="V251" s="473"/>
      <c r="W251" s="473"/>
    </row>
    <row r="252" spans="1:23" ht="11.25" customHeight="1" x14ac:dyDescent="0.25">
      <c r="A252" s="407" t="str">
        <f>'Org structure'!E80</f>
        <v>8.1 - Fleet Management</v>
      </c>
      <c r="B252" s="445"/>
      <c r="C252" s="394">
        <v>4432754.4700000016</v>
      </c>
      <c r="D252" s="383">
        <v>37705901.710000001</v>
      </c>
      <c r="E252" s="383">
        <v>37705901.710000001</v>
      </c>
      <c r="F252" s="472">
        <v>1647351.5899999999</v>
      </c>
      <c r="G252" s="384">
        <v>9176462.3300000001</v>
      </c>
      <c r="H252" s="472">
        <v>9559736.5499999989</v>
      </c>
      <c r="I252" s="44">
        <f t="shared" si="26"/>
        <v>-383274.21999999881</v>
      </c>
      <c r="J252" s="330">
        <f t="shared" si="27"/>
        <v>-4.0092550458411834E-2</v>
      </c>
      <c r="K252" s="395">
        <v>37705901.710000001</v>
      </c>
      <c r="L252" s="48"/>
      <c r="M252" s="473"/>
      <c r="N252" s="473"/>
      <c r="O252" s="473"/>
      <c r="P252" s="473"/>
      <c r="Q252" s="473"/>
      <c r="R252" s="473"/>
      <c r="S252" s="473"/>
      <c r="T252" s="473"/>
      <c r="U252" s="473"/>
      <c r="V252" s="473"/>
      <c r="W252" s="473"/>
    </row>
    <row r="253" spans="1:23" ht="11.25" customHeight="1" x14ac:dyDescent="0.25">
      <c r="A253" s="407" t="str">
        <f>'Org structure'!E81</f>
        <v>8.2 - Administration Civil Engineering</v>
      </c>
      <c r="B253" s="445"/>
      <c r="C253" s="394">
        <v>78977433.169999987</v>
      </c>
      <c r="D253" s="383">
        <v>6051438</v>
      </c>
      <c r="E253" s="383">
        <v>6051438</v>
      </c>
      <c r="F253" s="472">
        <v>268246.31</v>
      </c>
      <c r="G253" s="384">
        <v>1443918.5100000002</v>
      </c>
      <c r="H253" s="472">
        <v>1362874.11</v>
      </c>
      <c r="I253" s="44">
        <f t="shared" si="26"/>
        <v>81044.40000000014</v>
      </c>
      <c r="J253" s="330">
        <f t="shared" si="27"/>
        <v>5.9465800549986333E-2</v>
      </c>
      <c r="K253" s="395">
        <v>6051438</v>
      </c>
      <c r="L253" s="48"/>
      <c r="M253" s="473"/>
      <c r="N253" s="473"/>
      <c r="O253" s="473"/>
      <c r="P253" s="473"/>
      <c r="Q253" s="473"/>
      <c r="R253" s="473"/>
      <c r="S253" s="473"/>
      <c r="T253" s="473"/>
      <c r="U253" s="473"/>
      <c r="V253" s="473"/>
      <c r="W253" s="473"/>
    </row>
    <row r="254" spans="1:23" ht="11.25" customHeight="1" x14ac:dyDescent="0.25">
      <c r="A254" s="407" t="str">
        <f>'Org structure'!E82</f>
        <v>8.3 - Roads &amp; stormwater Management</v>
      </c>
      <c r="B254" s="445"/>
      <c r="C254" s="394">
        <v>71810876.850000009</v>
      </c>
      <c r="D254" s="383">
        <v>114602133</v>
      </c>
      <c r="E254" s="383">
        <v>114602133</v>
      </c>
      <c r="F254" s="472">
        <v>3180358.6400000006</v>
      </c>
      <c r="G254" s="384">
        <v>16129978.470000001</v>
      </c>
      <c r="H254" s="472">
        <v>18841019.450000003</v>
      </c>
      <c r="I254" s="44">
        <f t="shared" si="26"/>
        <v>-2711040.9800000023</v>
      </c>
      <c r="J254" s="330">
        <f t="shared" si="27"/>
        <v>-0.14389035514742288</v>
      </c>
      <c r="K254" s="395">
        <v>114602133</v>
      </c>
      <c r="L254" s="48"/>
      <c r="M254" s="473"/>
      <c r="N254" s="473"/>
      <c r="O254" s="473"/>
      <c r="P254" s="473"/>
      <c r="Q254" s="473"/>
      <c r="R254" s="473"/>
      <c r="S254" s="473"/>
      <c r="T254" s="473"/>
      <c r="U254" s="473"/>
      <c r="V254" s="473"/>
      <c r="W254" s="473"/>
    </row>
    <row r="255" spans="1:23" ht="11.25" customHeight="1" x14ac:dyDescent="0.25">
      <c r="A255" s="407" t="str">
        <f>'Org structure'!E83</f>
        <v>8.4 - Water Networks</v>
      </c>
      <c r="B255" s="445"/>
      <c r="C255" s="394"/>
      <c r="D255" s="383"/>
      <c r="E255" s="383"/>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structure'!E84</f>
        <v>8.5 - Water Purification</v>
      </c>
      <c r="B256" s="445"/>
      <c r="C256" s="394"/>
      <c r="D256" s="383"/>
      <c r="E256" s="383"/>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customHeight="1" x14ac:dyDescent="0.25">
      <c r="A257" s="407" t="str">
        <f>'Org structure'!E85</f>
        <v>8.6 - Building &amp; Housing</v>
      </c>
      <c r="B257" s="445"/>
      <c r="C257" s="394">
        <v>13788554.930000002</v>
      </c>
      <c r="D257" s="383">
        <v>18041702</v>
      </c>
      <c r="E257" s="383">
        <v>18041702</v>
      </c>
      <c r="F257" s="472">
        <v>1098272.8600000001</v>
      </c>
      <c r="G257" s="384">
        <v>7390066.8700000001</v>
      </c>
      <c r="H257" s="472">
        <v>6962401.9200000009</v>
      </c>
      <c r="I257" s="44">
        <f t="shared" si="26"/>
        <v>427664.94999999925</v>
      </c>
      <c r="J257" s="330">
        <f t="shared" si="27"/>
        <v>6.1424915555578725E-2</v>
      </c>
      <c r="K257" s="395"/>
      <c r="L257" s="48"/>
      <c r="M257" s="473"/>
      <c r="N257" s="473"/>
      <c r="O257" s="473"/>
      <c r="P257" s="473"/>
      <c r="Q257" s="473"/>
      <c r="R257" s="473"/>
      <c r="S257" s="473"/>
      <c r="T257" s="473"/>
      <c r="U257" s="473"/>
      <c r="V257" s="473"/>
      <c r="W257" s="473"/>
    </row>
    <row r="258" spans="1:23" ht="11.25" customHeight="1" x14ac:dyDescent="0.25">
      <c r="A258" s="407" t="str">
        <f>'Org structure'!E86</f>
        <v>8.7 - Project Management</v>
      </c>
      <c r="B258" s="445"/>
      <c r="C258" s="394">
        <v>3729690.0699999994</v>
      </c>
      <c r="D258" s="383">
        <v>5085198</v>
      </c>
      <c r="E258" s="383">
        <v>5085198</v>
      </c>
      <c r="F258" s="472">
        <v>356788.67999999993</v>
      </c>
      <c r="G258" s="384">
        <v>2215412.84</v>
      </c>
      <c r="H258" s="472">
        <v>1932864.67</v>
      </c>
      <c r="I258" s="44">
        <f t="shared" si="26"/>
        <v>282548.16999999993</v>
      </c>
      <c r="J258" s="330">
        <f t="shared" si="27"/>
        <v>0.14618104122105968</v>
      </c>
      <c r="K258" s="395">
        <v>18041702</v>
      </c>
      <c r="L258" s="48"/>
      <c r="M258" s="473"/>
      <c r="N258" s="473"/>
      <c r="O258" s="473"/>
      <c r="P258" s="473"/>
      <c r="Q258" s="473"/>
      <c r="R258" s="473"/>
      <c r="S258" s="473"/>
      <c r="T258" s="473"/>
      <c r="U258" s="473"/>
      <c r="V258" s="473"/>
      <c r="W258" s="473"/>
    </row>
    <row r="259" spans="1:23" ht="11.25" customHeight="1" x14ac:dyDescent="0.25">
      <c r="A259" s="407">
        <f>'Org structure'!E87</f>
        <v>0</v>
      </c>
      <c r="B259" s="445"/>
      <c r="C259" s="394"/>
      <c r="D259" s="383"/>
      <c r="E259" s="383"/>
      <c r="F259" s="472"/>
      <c r="G259" s="384"/>
      <c r="H259" s="472"/>
      <c r="I259" s="44">
        <f t="shared" si="26"/>
        <v>0</v>
      </c>
      <c r="J259" s="330" t="str">
        <f t="shared" si="27"/>
        <v/>
      </c>
      <c r="K259" s="395">
        <v>5085198</v>
      </c>
      <c r="L259" s="48"/>
      <c r="M259" s="473"/>
      <c r="N259" s="473"/>
      <c r="O259" s="473"/>
      <c r="P259" s="473"/>
      <c r="Q259" s="473"/>
      <c r="R259" s="473"/>
      <c r="S259" s="473"/>
      <c r="T259" s="473"/>
      <c r="U259" s="473"/>
      <c r="V259" s="473"/>
      <c r="W259" s="473"/>
    </row>
    <row r="260" spans="1:23" ht="11.25"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customHeight="1" x14ac:dyDescent="0.25">
      <c r="A262" s="466" t="str">
        <f>'Org structure'!A10</f>
        <v>Vote 9 - GTEDA</v>
      </c>
      <c r="B262" s="445"/>
      <c r="C262" s="503">
        <f t="shared" ref="C262:K262" si="33">SUM(C263:C272)</f>
        <v>0</v>
      </c>
      <c r="D262" s="444">
        <f t="shared" si="33"/>
        <v>0</v>
      </c>
      <c r="E262" s="441">
        <f t="shared" si="33"/>
        <v>0</v>
      </c>
      <c r="F262" s="443">
        <f t="shared" si="33"/>
        <v>0</v>
      </c>
      <c r="G262" s="441">
        <f t="shared" si="33"/>
        <v>0</v>
      </c>
      <c r="H262" s="443">
        <f t="shared" si="33"/>
        <v>0</v>
      </c>
      <c r="I262" s="44">
        <f t="shared" ref="I262:I325" si="34">G262-H262</f>
        <v>0</v>
      </c>
      <c r="J262" s="330" t="str">
        <f t="shared" ref="J262:J325" si="35">IF(I262=0,"",I262/H262)</f>
        <v/>
      </c>
      <c r="K262" s="442">
        <f t="shared" si="33"/>
        <v>0</v>
      </c>
      <c r="L262" s="48"/>
      <c r="M262" s="473"/>
      <c r="N262" s="473"/>
      <c r="O262" s="473"/>
      <c r="P262" s="473"/>
      <c r="Q262" s="473"/>
      <c r="R262" s="473"/>
      <c r="S262" s="473"/>
      <c r="T262" s="473"/>
      <c r="U262" s="473"/>
      <c r="V262" s="473"/>
      <c r="W262" s="473"/>
    </row>
    <row r="263" spans="1:23" ht="11.25" customHeight="1" x14ac:dyDescent="0.25">
      <c r="A263" s="407" t="str">
        <f>'Org structure'!E91</f>
        <v>9.1 - Gteda</v>
      </c>
      <c r="B263" s="445"/>
      <c r="C263" s="394"/>
      <c r="D263" s="383"/>
      <c r="E263" s="384"/>
      <c r="F263" s="472"/>
      <c r="G263" s="384"/>
      <c r="H263" s="472"/>
      <c r="I263" s="44">
        <f t="shared" si="34"/>
        <v>0</v>
      </c>
      <c r="J263" s="330" t="str">
        <f t="shared" si="35"/>
        <v/>
      </c>
      <c r="K263" s="395"/>
      <c r="L263" s="48"/>
      <c r="M263" s="473"/>
      <c r="N263" s="473"/>
      <c r="O263" s="473"/>
      <c r="P263" s="473"/>
      <c r="Q263" s="473"/>
      <c r="R263" s="473"/>
      <c r="S263" s="473"/>
      <c r="T263" s="473"/>
      <c r="U263" s="473"/>
      <c r="V263" s="473"/>
      <c r="W263" s="473"/>
    </row>
    <row r="264" spans="1:23" ht="11.25" customHeight="1" x14ac:dyDescent="0.25">
      <c r="A264" s="407">
        <f>'Org structure'!E92</f>
        <v>0</v>
      </c>
      <c r="B264" s="445"/>
      <c r="C264" s="394"/>
      <c r="D264" s="383"/>
      <c r="E264" s="384"/>
      <c r="F264" s="472"/>
      <c r="G264" s="384"/>
      <c r="H264" s="472"/>
      <c r="I264" s="44">
        <f t="shared" si="34"/>
        <v>0</v>
      </c>
      <c r="J264" s="330" t="str">
        <f t="shared" si="35"/>
        <v/>
      </c>
      <c r="K264" s="395"/>
      <c r="L264" s="48"/>
      <c r="M264" s="473"/>
      <c r="N264" s="473"/>
      <c r="O264" s="473"/>
      <c r="P264" s="473"/>
      <c r="Q264" s="473"/>
      <c r="R264" s="473"/>
      <c r="S264" s="473"/>
      <c r="T264" s="473"/>
      <c r="U264" s="473"/>
      <c r="V264" s="473"/>
      <c r="W264" s="473"/>
    </row>
    <row r="265" spans="1:23" ht="11.25" customHeight="1" x14ac:dyDescent="0.25">
      <c r="A265" s="407">
        <f>'Org structure'!E93</f>
        <v>0</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structure'!E94</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structure'!E95</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structure'!E96</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structure'!E97</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structure'!E98</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structure'!E99</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structure'!E100</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66" t="str">
        <f>'Org structure'!A11</f>
        <v>Vote 10 - [NAME OF VOTE 10]</v>
      </c>
      <c r="B273" s="445"/>
      <c r="C273" s="503">
        <f t="shared" ref="C273:K273" si="36">SUM(C274:C283)</f>
        <v>0</v>
      </c>
      <c r="D273" s="444">
        <f t="shared" si="36"/>
        <v>0</v>
      </c>
      <c r="E273" s="441">
        <f t="shared" si="36"/>
        <v>0</v>
      </c>
      <c r="F273" s="443">
        <f t="shared" si="36"/>
        <v>0</v>
      </c>
      <c r="G273" s="441">
        <f t="shared" si="36"/>
        <v>0</v>
      </c>
      <c r="H273" s="443">
        <f t="shared" si="36"/>
        <v>0</v>
      </c>
      <c r="I273" s="44">
        <f t="shared" si="34"/>
        <v>0</v>
      </c>
      <c r="J273" s="330" t="str">
        <f t="shared" si="35"/>
        <v/>
      </c>
      <c r="K273" s="442">
        <f t="shared" si="36"/>
        <v>0</v>
      </c>
      <c r="L273" s="48"/>
      <c r="M273" s="473"/>
      <c r="N273" s="473"/>
      <c r="O273" s="473"/>
      <c r="P273" s="473"/>
      <c r="Q273" s="473"/>
      <c r="R273" s="473"/>
      <c r="S273" s="473"/>
      <c r="T273" s="473"/>
      <c r="U273" s="473"/>
      <c r="V273" s="473"/>
      <c r="W273" s="473"/>
    </row>
    <row r="274" spans="1:23" ht="11.25" customHeight="1" x14ac:dyDescent="0.25">
      <c r="A274" s="407" t="str">
        <f>'Org structure'!E102</f>
        <v>10.1 - [Name of sub-vote]</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07">
        <f>'Org structure'!E103</f>
        <v>0</v>
      </c>
      <c r="B275" s="445"/>
      <c r="C275" s="394"/>
      <c r="D275" s="383"/>
      <c r="E275" s="384"/>
      <c r="F275" s="472"/>
      <c r="G275" s="384"/>
      <c r="H275" s="472"/>
      <c r="I275" s="44">
        <f t="shared" si="34"/>
        <v>0</v>
      </c>
      <c r="J275" s="330" t="str">
        <f t="shared" si="35"/>
        <v/>
      </c>
      <c r="K275" s="395"/>
      <c r="L275" s="48"/>
      <c r="M275" s="473"/>
      <c r="N275" s="473"/>
      <c r="O275" s="473"/>
      <c r="P275" s="473"/>
      <c r="Q275" s="473"/>
      <c r="R275" s="473"/>
      <c r="S275" s="473"/>
      <c r="T275" s="473"/>
      <c r="U275" s="473"/>
      <c r="V275" s="473"/>
      <c r="W275" s="473"/>
    </row>
    <row r="276" spans="1:23" ht="11.25" customHeight="1" x14ac:dyDescent="0.25">
      <c r="A276" s="407">
        <f>'Org structure'!E104</f>
        <v>0</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structure'!E105</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structure'!E106</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structure'!E107</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structure'!E108</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structure'!E109</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structure'!E110</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structure'!E111</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66" t="str">
        <f>'Org structure'!A12</f>
        <v>Vote 11 - [NAME OF VOTE 11]</v>
      </c>
      <c r="B284" s="445"/>
      <c r="C284" s="503">
        <f t="shared" ref="C284:K284" si="37">SUM(C285:C294)</f>
        <v>0</v>
      </c>
      <c r="D284" s="444">
        <f t="shared" si="37"/>
        <v>0</v>
      </c>
      <c r="E284" s="441">
        <f t="shared" si="37"/>
        <v>0</v>
      </c>
      <c r="F284" s="443">
        <f t="shared" si="37"/>
        <v>0</v>
      </c>
      <c r="G284" s="441">
        <f t="shared" si="37"/>
        <v>0</v>
      </c>
      <c r="H284" s="443">
        <f t="shared" si="37"/>
        <v>0</v>
      </c>
      <c r="I284" s="44">
        <f t="shared" si="34"/>
        <v>0</v>
      </c>
      <c r="J284" s="330" t="str">
        <f t="shared" si="35"/>
        <v/>
      </c>
      <c r="K284" s="442">
        <f t="shared" si="37"/>
        <v>0</v>
      </c>
      <c r="L284" s="48"/>
      <c r="M284" s="473"/>
      <c r="N284" s="473"/>
      <c r="O284" s="473"/>
      <c r="P284" s="473"/>
      <c r="Q284" s="473"/>
      <c r="R284" s="473"/>
      <c r="S284" s="473"/>
      <c r="T284" s="473"/>
      <c r="U284" s="473"/>
      <c r="V284" s="473"/>
      <c r="W284" s="473"/>
    </row>
    <row r="285" spans="1:23" ht="11.25" customHeight="1" x14ac:dyDescent="0.25">
      <c r="A285" s="407" t="str">
        <f>'Org structure'!E113</f>
        <v>11.1 - [Name of sub-vote]</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07">
        <f>'Org structure'!E114</f>
        <v>0</v>
      </c>
      <c r="B286" s="445"/>
      <c r="C286" s="394"/>
      <c r="D286" s="383"/>
      <c r="E286" s="384"/>
      <c r="F286" s="472"/>
      <c r="G286" s="384"/>
      <c r="H286" s="472"/>
      <c r="I286" s="44">
        <f t="shared" si="34"/>
        <v>0</v>
      </c>
      <c r="J286" s="330" t="str">
        <f t="shared" si="35"/>
        <v/>
      </c>
      <c r="K286" s="395"/>
      <c r="L286" s="48"/>
      <c r="M286" s="473"/>
      <c r="N286" s="473"/>
      <c r="O286" s="473"/>
      <c r="P286" s="473"/>
      <c r="Q286" s="473"/>
      <c r="R286" s="473"/>
      <c r="S286" s="473"/>
      <c r="T286" s="473"/>
      <c r="U286" s="473"/>
      <c r="V286" s="473"/>
      <c r="W286" s="473"/>
    </row>
    <row r="287" spans="1:23" ht="11.25" customHeight="1" x14ac:dyDescent="0.25">
      <c r="A287" s="407">
        <f>'Org structure'!E115</f>
        <v>0</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structure'!E116</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structure'!E117</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structure'!E118</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structure'!E119</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structure'!E120</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structure'!E121</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structure'!E122</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66" t="str">
        <f>'Org structure'!A13</f>
        <v>Vote 12 - [NAME OF VOTE 12]</v>
      </c>
      <c r="B295" s="445"/>
      <c r="C295" s="503">
        <f t="shared" ref="C295:K295" si="38">SUM(C296:C305)</f>
        <v>0</v>
      </c>
      <c r="D295" s="444">
        <f t="shared" si="38"/>
        <v>0</v>
      </c>
      <c r="E295" s="441">
        <f t="shared" si="38"/>
        <v>0</v>
      </c>
      <c r="F295" s="443">
        <f t="shared" si="38"/>
        <v>0</v>
      </c>
      <c r="G295" s="441">
        <f t="shared" si="38"/>
        <v>0</v>
      </c>
      <c r="H295" s="443">
        <f t="shared" si="38"/>
        <v>0</v>
      </c>
      <c r="I295" s="44">
        <f t="shared" si="34"/>
        <v>0</v>
      </c>
      <c r="J295" s="330" t="str">
        <f t="shared" si="35"/>
        <v/>
      </c>
      <c r="K295" s="442">
        <f t="shared" si="38"/>
        <v>0</v>
      </c>
      <c r="L295" s="48"/>
      <c r="M295" s="473"/>
      <c r="N295" s="473"/>
      <c r="O295" s="473"/>
      <c r="P295" s="473"/>
      <c r="Q295" s="473"/>
      <c r="R295" s="473"/>
      <c r="S295" s="473"/>
      <c r="T295" s="473"/>
      <c r="U295" s="473"/>
      <c r="V295" s="473"/>
      <c r="W295" s="473"/>
    </row>
    <row r="296" spans="1:23" ht="11.25" customHeight="1" x14ac:dyDescent="0.25">
      <c r="A296" s="407" t="str">
        <f>'Org structure'!E124</f>
        <v>12.1 - [Name of sub-vote]</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07">
        <f>'Org structure'!E125</f>
        <v>0</v>
      </c>
      <c r="B297" s="445"/>
      <c r="C297" s="394"/>
      <c r="D297" s="383"/>
      <c r="E297" s="384"/>
      <c r="F297" s="472"/>
      <c r="G297" s="384"/>
      <c r="H297" s="472"/>
      <c r="I297" s="44">
        <f t="shared" si="34"/>
        <v>0</v>
      </c>
      <c r="J297" s="330" t="str">
        <f t="shared" si="35"/>
        <v/>
      </c>
      <c r="K297" s="395"/>
      <c r="L297" s="48"/>
      <c r="M297" s="473"/>
      <c r="N297" s="473"/>
      <c r="O297" s="473"/>
      <c r="P297" s="473"/>
      <c r="Q297" s="473"/>
      <c r="R297" s="473"/>
      <c r="S297" s="473"/>
      <c r="T297" s="473"/>
      <c r="U297" s="473"/>
      <c r="V297" s="473"/>
      <c r="W297" s="473"/>
    </row>
    <row r="298" spans="1:23" ht="11.25" customHeight="1" x14ac:dyDescent="0.25">
      <c r="A298" s="407">
        <f>'Org structure'!E126</f>
        <v>0</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structure'!E127</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structure'!E128</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structure'!E129</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structure'!E130</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structure'!E131</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structure'!E132</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structure'!E133</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66" t="str">
        <f>'Org structure'!A14</f>
        <v>Vote 13 - [NAME OF VOTE 13]</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customHeight="1" x14ac:dyDescent="0.25">
      <c r="A307" s="407" t="str">
        <f>'Org structure'!E135</f>
        <v>13.1 - [Name of sub-vote]</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66" t="str">
        <f>'Org structure'!A15</f>
        <v>Vote 14 - [NAME OF VOTE 14]</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customHeight="1" x14ac:dyDescent="0.25">
      <c r="A318" s="407" t="str">
        <f>'Org structure'!E146</f>
        <v>14.1 - [Name of sub-vote]</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customHeight="1" x14ac:dyDescent="0.25">
      <c r="A328" s="466" t="str">
        <f>'Org structure'!A16</f>
        <v>Vote 15 - [NAME OF VOTE 15]</v>
      </c>
      <c r="B328" s="445"/>
      <c r="C328" s="503">
        <f t="shared" ref="C328:K328" si="43">SUM(C329:C338)</f>
        <v>0</v>
      </c>
      <c r="D328" s="444">
        <f t="shared" si="43"/>
        <v>0</v>
      </c>
      <c r="E328" s="441">
        <f t="shared" si="43"/>
        <v>0</v>
      </c>
      <c r="F328" s="443">
        <f t="shared" si="43"/>
        <v>0</v>
      </c>
      <c r="G328" s="441">
        <f t="shared" si="43"/>
        <v>0</v>
      </c>
      <c r="H328" s="443">
        <f t="shared" si="43"/>
        <v>0</v>
      </c>
      <c r="I328" s="44">
        <f t="shared" si="41"/>
        <v>0</v>
      </c>
      <c r="J328" s="330" t="str">
        <f t="shared" si="42"/>
        <v/>
      </c>
      <c r="K328" s="442">
        <f t="shared" si="43"/>
        <v>0</v>
      </c>
      <c r="L328" s="48"/>
      <c r="M328" s="473"/>
      <c r="N328" s="473"/>
      <c r="O328" s="473"/>
      <c r="P328" s="473"/>
      <c r="Q328" s="473"/>
      <c r="R328" s="473"/>
      <c r="S328" s="473"/>
      <c r="T328" s="473"/>
      <c r="U328" s="473"/>
      <c r="V328" s="473"/>
      <c r="W328" s="473"/>
    </row>
    <row r="329" spans="1:23" ht="11.25" customHeight="1" x14ac:dyDescent="0.25">
      <c r="A329" s="407" t="str">
        <f>'Org structure'!E157</f>
        <v>15.1 - [Name of sub-vote]</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07">
        <f>'Org structure'!E158</f>
        <v>0</v>
      </c>
      <c r="B330" s="445"/>
      <c r="C330" s="394"/>
      <c r="D330" s="383"/>
      <c r="E330" s="384"/>
      <c r="F330" s="472"/>
      <c r="G330" s="384"/>
      <c r="H330" s="472"/>
      <c r="I330" s="44">
        <f t="shared" si="41"/>
        <v>0</v>
      </c>
      <c r="J330" s="330" t="str">
        <f t="shared" si="42"/>
        <v/>
      </c>
      <c r="K330" s="395"/>
      <c r="L330" s="48"/>
      <c r="M330" s="473"/>
      <c r="N330" s="473"/>
      <c r="O330" s="473"/>
      <c r="P330" s="473"/>
      <c r="Q330" s="473"/>
      <c r="R330" s="473"/>
      <c r="S330" s="473"/>
      <c r="T330" s="473"/>
      <c r="U330" s="473"/>
      <c r="V330" s="473"/>
      <c r="W330" s="473"/>
    </row>
    <row r="331" spans="1:23" ht="11.25" customHeight="1" x14ac:dyDescent="0.25">
      <c r="A331" s="407">
        <f>'Org structure'!E159</f>
        <v>0</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structure'!E160</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structure'!E161</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structure'!E162</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structure'!E163</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structure'!E164</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structure'!E165</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structure'!E166</f>
        <v>0</v>
      </c>
      <c r="B338" s="445"/>
      <c r="C338" s="394"/>
      <c r="D338" s="383"/>
      <c r="E338" s="384"/>
      <c r="F338" s="472"/>
      <c r="G338" s="384"/>
      <c r="H338" s="472"/>
      <c r="I338" s="44">
        <f t="shared" si="41"/>
        <v>0</v>
      </c>
      <c r="J338" s="330" t="str">
        <f t="shared" si="42"/>
        <v/>
      </c>
      <c r="K338" s="395"/>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643</v>
      </c>
      <c r="B339" s="445">
        <v>2</v>
      </c>
      <c r="C339" s="508">
        <f t="shared" ref="C339:H339" si="45">C174+C185+C196+C207+C218+C229+C240+C251+C262++C273+C284+C295+C306+C317+C328</f>
        <v>1212344673.5200002</v>
      </c>
      <c r="D339" s="475">
        <f t="shared" si="45"/>
        <v>1313896978.96</v>
      </c>
      <c r="E339" s="430">
        <f t="shared" si="45"/>
        <v>1313896978.96</v>
      </c>
      <c r="F339" s="474">
        <f t="shared" si="45"/>
        <v>148863527.03999999</v>
      </c>
      <c r="G339" s="430">
        <f t="shared" si="45"/>
        <v>504242527.14000005</v>
      </c>
      <c r="H339" s="474">
        <f t="shared" si="45"/>
        <v>444440195.71999997</v>
      </c>
      <c r="I339" s="430">
        <f t="shared" si="41"/>
        <v>59802331.420000076</v>
      </c>
      <c r="J339" s="430">
        <f t="shared" si="42"/>
        <v>0.13455653200566023</v>
      </c>
      <c r="K339" s="513">
        <f>K174+K185+K196+K207+K218+K229+K240+K251+K262++K273+K284+K295+K306+K317+K328</f>
        <v>1313896978.96</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7" t="str">
        <f>result</f>
        <v>Surplus/ (Deficit) for the year</v>
      </c>
      <c r="B341" s="477">
        <v>2</v>
      </c>
      <c r="C341" s="509">
        <f t="shared" ref="C341:H341" si="47">C171-C339</f>
        <v>-76991258.230000257</v>
      </c>
      <c r="D341" s="512">
        <f t="shared" si="47"/>
        <v>45279328.039999962</v>
      </c>
      <c r="E341" s="55">
        <f t="shared" si="47"/>
        <v>45279328.039999962</v>
      </c>
      <c r="F341" s="479">
        <f t="shared" si="47"/>
        <v>38428847.630000025</v>
      </c>
      <c r="G341" s="55">
        <f t="shared" si="47"/>
        <v>292427877.27000004</v>
      </c>
      <c r="H341" s="479">
        <f t="shared" si="47"/>
        <v>296732355.67999989</v>
      </c>
      <c r="I341" s="55">
        <f t="shared" si="41"/>
        <v>-4304478.4099998474</v>
      </c>
      <c r="J341" s="55">
        <f t="shared" si="42"/>
        <v>-1.4506265756343249E-2</v>
      </c>
      <c r="K341" s="235">
        <f>K171-K339</f>
        <v>45279328.039999962</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5"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41" activePane="bottomRight" state="frozen"/>
      <selection pane="topRight"/>
      <selection pane="bottomLeft"/>
      <selection pane="bottomRight" activeCell="H39" sqref="H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"&amp;S71B&amp; " - "&amp;date</f>
        <v>LIM333 Greater Tzaneen - Table C4 Consolidated Monthly Budget Statement - Financial Performance (revenue and expenditure)  - M06 December</v>
      </c>
      <c r="B1" s="1035"/>
      <c r="C1" s="1035"/>
      <c r="D1" s="1035"/>
      <c r="E1" s="1035"/>
      <c r="F1" s="1035"/>
      <c r="G1" s="1035"/>
      <c r="H1" s="1035"/>
      <c r="I1" s="1035"/>
      <c r="J1" s="1035"/>
      <c r="K1" s="1035"/>
    </row>
    <row r="2" spans="1:11" x14ac:dyDescent="0.25">
      <c r="A2" s="1024" t="str">
        <f>desc</f>
        <v>Description</v>
      </c>
      <c r="B2" s="1033" t="str">
        <f>head27</f>
        <v>Ref</v>
      </c>
      <c r="C2" s="158" t="str">
        <f>Head1</f>
        <v>2018/19</v>
      </c>
      <c r="D2" s="1019" t="str">
        <f>Head2</f>
        <v>Budget Year 2019/20</v>
      </c>
      <c r="E2" s="1020"/>
      <c r="F2" s="1020"/>
      <c r="G2" s="1020"/>
      <c r="H2" s="1020"/>
      <c r="I2" s="1020"/>
      <c r="J2" s="1020"/>
      <c r="K2" s="1021"/>
    </row>
    <row r="3" spans="1:11" ht="25.5" x14ac:dyDescent="0.25">
      <c r="A3" s="1025"/>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418"/>
      <c r="C4" s="187"/>
      <c r="D4" s="240"/>
      <c r="E4" s="241"/>
      <c r="F4" s="82"/>
      <c r="G4" s="82"/>
      <c r="H4" s="82"/>
      <c r="I4" s="82"/>
      <c r="J4" s="242" t="s">
        <v>583</v>
      </c>
      <c r="K4" s="223"/>
    </row>
    <row r="5" spans="1:11" ht="12.75" customHeight="1" x14ac:dyDescent="0.25">
      <c r="A5" s="182" t="s">
        <v>493</v>
      </c>
      <c r="B5" s="519"/>
      <c r="C5" s="170"/>
      <c r="D5" s="37"/>
      <c r="E5" s="36"/>
      <c r="F5" s="36"/>
      <c r="G5" s="36"/>
      <c r="H5" s="36"/>
      <c r="I5" s="36"/>
      <c r="J5" s="36"/>
      <c r="K5" s="226"/>
    </row>
    <row r="6" spans="1:11" ht="11.25" customHeight="1" x14ac:dyDescent="0.25">
      <c r="A6" s="39" t="s">
        <v>946</v>
      </c>
      <c r="B6" s="419"/>
      <c r="C6" s="749">
        <v>119183221</v>
      </c>
      <c r="D6" s="746">
        <v>112400000</v>
      </c>
      <c r="E6" s="746">
        <v>112400000</v>
      </c>
      <c r="F6" s="734">
        <v>10552298.24</v>
      </c>
      <c r="G6" s="734">
        <v>63148084.869999997</v>
      </c>
      <c r="H6" s="734">
        <v>59311593.960000001</v>
      </c>
      <c r="I6" s="44">
        <f t="shared" ref="I6:I22" si="0">G6-H6</f>
        <v>3836490.9099999964</v>
      </c>
      <c r="J6" s="330">
        <f t="shared" ref="J6:J22" si="1">IF(I6=0,"",I6/H6)</f>
        <v>6.4683658857446022E-2</v>
      </c>
      <c r="K6" s="736">
        <v>112400000</v>
      </c>
    </row>
    <row r="7" spans="1:11" ht="11.25" customHeight="1" x14ac:dyDescent="0.25">
      <c r="A7" s="39" t="s">
        <v>845</v>
      </c>
      <c r="B7" s="419"/>
      <c r="C7" s="749">
        <v>449863850.95999998</v>
      </c>
      <c r="D7" s="746">
        <v>577331000</v>
      </c>
      <c r="E7" s="746">
        <v>570331000</v>
      </c>
      <c r="F7" s="734">
        <v>37511115.810000002</v>
      </c>
      <c r="G7" s="734">
        <v>294007804.49000001</v>
      </c>
      <c r="H7" s="734">
        <v>269161766.47000003</v>
      </c>
      <c r="I7" s="44">
        <f t="shared" si="0"/>
        <v>24846038.019999981</v>
      </c>
      <c r="J7" s="330">
        <f t="shared" si="1"/>
        <v>9.2308942484107398E-2</v>
      </c>
      <c r="K7" s="736">
        <v>577331000</v>
      </c>
    </row>
    <row r="8" spans="1:11" ht="11.25" customHeight="1" x14ac:dyDescent="0.25">
      <c r="A8" s="86" t="s">
        <v>846</v>
      </c>
      <c r="B8" s="421"/>
      <c r="C8" s="749"/>
      <c r="D8" s="746"/>
      <c r="E8" s="734"/>
      <c r="F8" s="734"/>
      <c r="G8" s="734"/>
      <c r="H8" s="734"/>
      <c r="I8" s="44">
        <f t="shared" si="0"/>
        <v>0</v>
      </c>
      <c r="J8" s="330" t="str">
        <f t="shared" si="1"/>
        <v/>
      </c>
      <c r="K8" s="736"/>
    </row>
    <row r="9" spans="1:11" ht="11.25" customHeight="1" x14ac:dyDescent="0.25">
      <c r="A9" s="86" t="s">
        <v>847</v>
      </c>
      <c r="B9" s="421"/>
      <c r="C9" s="749"/>
      <c r="D9" s="746"/>
      <c r="E9" s="734"/>
      <c r="F9" s="734"/>
      <c r="G9" s="734"/>
      <c r="H9" s="734"/>
      <c r="I9" s="44">
        <f t="shared" si="0"/>
        <v>0</v>
      </c>
      <c r="J9" s="330" t="str">
        <f t="shared" si="1"/>
        <v/>
      </c>
      <c r="K9" s="736"/>
    </row>
    <row r="10" spans="1:11" ht="11.25" customHeight="1" x14ac:dyDescent="0.25">
      <c r="A10" s="517" t="s">
        <v>73</v>
      </c>
      <c r="B10" s="421"/>
      <c r="C10" s="749">
        <v>33052322</v>
      </c>
      <c r="D10" s="746">
        <v>33721657</v>
      </c>
      <c r="E10" s="746">
        <v>33721657</v>
      </c>
      <c r="F10" s="734">
        <v>2771554.89</v>
      </c>
      <c r="G10" s="734">
        <v>17070951.670000002</v>
      </c>
      <c r="H10" s="734">
        <v>16838102.649999999</v>
      </c>
      <c r="I10" s="44">
        <f t="shared" si="0"/>
        <v>232849.02000000328</v>
      </c>
      <c r="J10" s="330">
        <f t="shared" si="1"/>
        <v>1.3828697023652086E-2</v>
      </c>
      <c r="K10" s="736">
        <v>33721657</v>
      </c>
    </row>
    <row r="11" spans="1:11" ht="0.95" customHeight="1" x14ac:dyDescent="0.25">
      <c r="A11" s="86"/>
      <c r="B11" s="421"/>
      <c r="C11" s="649"/>
      <c r="D11" s="650"/>
      <c r="E11" s="408"/>
      <c r="F11" s="408"/>
      <c r="G11" s="408"/>
      <c r="H11" s="408"/>
      <c r="I11" s="408"/>
      <c r="J11" s="949"/>
      <c r="K11" s="643"/>
    </row>
    <row r="12" spans="1:11" ht="11.25" customHeight="1" x14ac:dyDescent="0.25">
      <c r="A12" s="86" t="s">
        <v>978</v>
      </c>
      <c r="B12" s="421"/>
      <c r="C12" s="749">
        <v>2132852.52</v>
      </c>
      <c r="D12" s="746">
        <v>1972100</v>
      </c>
      <c r="E12" s="746">
        <v>1972100</v>
      </c>
      <c r="F12" s="734">
        <v>127251.09</v>
      </c>
      <c r="G12" s="734">
        <v>488796.47</v>
      </c>
      <c r="H12" s="734">
        <v>1221433.55</v>
      </c>
      <c r="I12" s="44">
        <f t="shared" si="0"/>
        <v>-732637.08000000007</v>
      </c>
      <c r="J12" s="330">
        <f t="shared" si="1"/>
        <v>-0.59981738670924833</v>
      </c>
      <c r="K12" s="736">
        <v>1972100</v>
      </c>
    </row>
    <row r="13" spans="1:11" ht="11.25" customHeight="1" x14ac:dyDescent="0.25">
      <c r="A13" s="86" t="s">
        <v>850</v>
      </c>
      <c r="B13" s="421"/>
      <c r="C13" s="749">
        <v>9615814.0199999996</v>
      </c>
      <c r="D13" s="746">
        <v>4301000</v>
      </c>
      <c r="E13" s="746">
        <v>4301000</v>
      </c>
      <c r="F13" s="734">
        <v>207711.31</v>
      </c>
      <c r="G13" s="734">
        <v>2114063.89</v>
      </c>
      <c r="H13" s="734">
        <v>2631410.0699999998</v>
      </c>
      <c r="I13" s="44">
        <f t="shared" si="0"/>
        <v>-517346.1799999997</v>
      </c>
      <c r="J13" s="330">
        <f t="shared" si="1"/>
        <v>-0.19660416515773224</v>
      </c>
      <c r="K13" s="736">
        <v>4301000</v>
      </c>
    </row>
    <row r="14" spans="1:11" ht="11.25" customHeight="1" x14ac:dyDescent="0.25">
      <c r="A14" s="86" t="s">
        <v>851</v>
      </c>
      <c r="B14" s="421"/>
      <c r="C14" s="749">
        <v>17826053.129999999</v>
      </c>
      <c r="D14" s="746">
        <v>17000000</v>
      </c>
      <c r="E14" s="746">
        <v>17000000</v>
      </c>
      <c r="F14" s="734">
        <v>2072293.21</v>
      </c>
      <c r="G14" s="734">
        <v>12228662.560000001</v>
      </c>
      <c r="H14" s="734">
        <v>11578900.09</v>
      </c>
      <c r="I14" s="44">
        <f t="shared" si="0"/>
        <v>649762.47000000067</v>
      </c>
      <c r="J14" s="330">
        <f t="shared" si="1"/>
        <v>5.6116078811420222E-2</v>
      </c>
      <c r="K14" s="736">
        <v>17000000</v>
      </c>
    </row>
    <row r="15" spans="1:11" ht="11.25" customHeight="1" x14ac:dyDescent="0.25">
      <c r="A15" s="86" t="s">
        <v>936</v>
      </c>
      <c r="B15" s="421"/>
      <c r="C15" s="749"/>
      <c r="D15" s="746"/>
      <c r="E15" s="734"/>
      <c r="F15" s="734"/>
      <c r="G15" s="734"/>
      <c r="H15" s="734"/>
      <c r="I15" s="44">
        <f t="shared" si="0"/>
        <v>0</v>
      </c>
      <c r="J15" s="330" t="str">
        <f t="shared" si="1"/>
        <v/>
      </c>
      <c r="K15" s="736"/>
    </row>
    <row r="16" spans="1:11" ht="11.25" customHeight="1" x14ac:dyDescent="0.25">
      <c r="A16" s="86" t="s">
        <v>1126</v>
      </c>
      <c r="B16" s="421"/>
      <c r="C16" s="749">
        <v>32189439.129999999</v>
      </c>
      <c r="D16" s="746">
        <v>38501136</v>
      </c>
      <c r="E16" s="746">
        <v>38501136</v>
      </c>
      <c r="F16" s="734">
        <v>171231.61</v>
      </c>
      <c r="G16" s="734">
        <v>1070758.17</v>
      </c>
      <c r="H16" s="734">
        <v>2230390.9700000002</v>
      </c>
      <c r="I16" s="44">
        <f t="shared" si="0"/>
        <v>-1159632.8000000003</v>
      </c>
      <c r="J16" s="330">
        <f t="shared" si="1"/>
        <v>-0.51992355403052948</v>
      </c>
      <c r="K16" s="736">
        <v>38501136</v>
      </c>
    </row>
    <row r="17" spans="1:11" ht="11.25" customHeight="1" x14ac:dyDescent="0.25">
      <c r="A17" s="86" t="s">
        <v>852</v>
      </c>
      <c r="B17" s="421"/>
      <c r="C17" s="749">
        <v>1020674.22</v>
      </c>
      <c r="D17" s="746">
        <v>817000</v>
      </c>
      <c r="E17" s="746">
        <v>817000</v>
      </c>
      <c r="F17" s="734">
        <v>45645.24</v>
      </c>
      <c r="G17" s="734">
        <v>730160.97</v>
      </c>
      <c r="H17" s="734">
        <v>549094.22</v>
      </c>
      <c r="I17" s="44">
        <f t="shared" si="0"/>
        <v>181066.75</v>
      </c>
      <c r="J17" s="330">
        <f t="shared" si="1"/>
        <v>0.32975533779976779</v>
      </c>
      <c r="K17" s="736">
        <v>817000</v>
      </c>
    </row>
    <row r="18" spans="1:11" ht="11.25" customHeight="1" x14ac:dyDescent="0.25">
      <c r="A18" s="86" t="s">
        <v>589</v>
      </c>
      <c r="B18" s="421"/>
      <c r="C18" s="749">
        <v>9254073.7599999998</v>
      </c>
      <c r="D18" s="746">
        <v>53664291</v>
      </c>
      <c r="E18" s="746">
        <v>53664291</v>
      </c>
      <c r="F18" s="734">
        <v>5873279.3899999997</v>
      </c>
      <c r="G18" s="734">
        <v>33983258.329999998</v>
      </c>
      <c r="H18" s="734">
        <v>28292774.010000002</v>
      </c>
      <c r="I18" s="44">
        <f t="shared" si="0"/>
        <v>5690484.3199999966</v>
      </c>
      <c r="J18" s="330">
        <f t="shared" si="1"/>
        <v>0.20112853967549138</v>
      </c>
      <c r="K18" s="736">
        <v>53664291</v>
      </c>
    </row>
    <row r="19" spans="1:11" ht="11.25" customHeight="1" x14ac:dyDescent="0.25">
      <c r="A19" s="518" t="s">
        <v>1127</v>
      </c>
      <c r="B19" s="421"/>
      <c r="C19" s="749">
        <v>356544299.81</v>
      </c>
      <c r="D19" s="746">
        <v>416300150</v>
      </c>
      <c r="E19" s="746">
        <v>417337256.26999998</v>
      </c>
      <c r="F19" s="734">
        <v>127772000</v>
      </c>
      <c r="G19" s="734">
        <v>305815000</v>
      </c>
      <c r="H19" s="734">
        <v>267940312.84</v>
      </c>
      <c r="I19" s="44">
        <f t="shared" si="0"/>
        <v>37874687.159999996</v>
      </c>
      <c r="J19" s="330">
        <f t="shared" si="1"/>
        <v>0.14135494117533851</v>
      </c>
      <c r="K19" s="736">
        <v>416300150</v>
      </c>
    </row>
    <row r="20" spans="1:11" ht="11.25" customHeight="1" x14ac:dyDescent="0.25">
      <c r="A20" s="86" t="s">
        <v>460</v>
      </c>
      <c r="B20" s="421"/>
      <c r="C20" s="749">
        <v>28520193</v>
      </c>
      <c r="D20" s="746">
        <v>13618123</v>
      </c>
      <c r="E20" s="746">
        <v>13618123</v>
      </c>
      <c r="F20" s="734">
        <v>187993.88</v>
      </c>
      <c r="G20" s="734">
        <v>2294862.9900000002</v>
      </c>
      <c r="H20" s="734">
        <v>2949772.57</v>
      </c>
      <c r="I20" s="44">
        <f t="shared" si="0"/>
        <v>-654909.57999999961</v>
      </c>
      <c r="J20" s="330">
        <f t="shared" si="1"/>
        <v>-0.2220203640987819</v>
      </c>
      <c r="K20" s="736">
        <v>13618123</v>
      </c>
    </row>
    <row r="21" spans="1:11" ht="11.25" customHeight="1" x14ac:dyDescent="0.25">
      <c r="A21" s="39" t="s">
        <v>853</v>
      </c>
      <c r="B21" s="419"/>
      <c r="C21" s="749"/>
      <c r="D21" s="746"/>
      <c r="E21" s="734"/>
      <c r="F21" s="734"/>
      <c r="G21" s="734"/>
      <c r="H21" s="734"/>
      <c r="I21" s="44">
        <f t="shared" si="0"/>
        <v>0</v>
      </c>
      <c r="J21" s="330" t="str">
        <f t="shared" si="1"/>
        <v/>
      </c>
      <c r="K21" s="736"/>
    </row>
    <row r="22" spans="1:11" ht="24.75" customHeight="1" x14ac:dyDescent="0.25">
      <c r="A22" s="587" t="s">
        <v>140</v>
      </c>
      <c r="B22" s="588"/>
      <c r="C22" s="522">
        <f t="shared" ref="C22:H22" si="2">SUM(C6:C10)+SUM(C12:C21)</f>
        <v>1059202793.5500001</v>
      </c>
      <c r="D22" s="523">
        <f t="shared" si="2"/>
        <v>1269626457</v>
      </c>
      <c r="E22" s="524">
        <f t="shared" si="2"/>
        <v>1263663563.27</v>
      </c>
      <c r="F22" s="524">
        <f t="shared" si="2"/>
        <v>187292374.66999999</v>
      </c>
      <c r="G22" s="524">
        <f t="shared" si="2"/>
        <v>732952404.41000009</v>
      </c>
      <c r="H22" s="524">
        <f t="shared" si="2"/>
        <v>662705551.39999998</v>
      </c>
      <c r="I22" s="524">
        <f t="shared" si="0"/>
        <v>70246853.01000011</v>
      </c>
      <c r="J22" s="525">
        <f t="shared" si="1"/>
        <v>0.10600009742124535</v>
      </c>
      <c r="K22" s="526">
        <f>SUM(K6:K10)+SUM(K12:K21)</f>
        <v>1269626457</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854</v>
      </c>
      <c r="B25" s="421"/>
      <c r="C25" s="749">
        <v>295232470.99999994</v>
      </c>
      <c r="D25" s="746">
        <v>357557390.95999998</v>
      </c>
      <c r="E25" s="746">
        <v>325483419.34999996</v>
      </c>
      <c r="F25" s="734">
        <v>26140700.329999987</v>
      </c>
      <c r="G25" s="734">
        <v>157537230.61000007</v>
      </c>
      <c r="H25" s="734">
        <v>147778045.63</v>
      </c>
      <c r="I25" s="44">
        <f t="shared" ref="I25:I36" si="3">G25-H25</f>
        <v>9759184.9800000787</v>
      </c>
      <c r="J25" s="330">
        <f t="shared" ref="J25:J41" si="4">IF(I25=0,"",I25/H25)</f>
        <v>6.6039477910234956E-2</v>
      </c>
      <c r="K25" s="736">
        <v>357557390.95999998</v>
      </c>
    </row>
    <row r="26" spans="1:11" ht="12.75" customHeight="1" x14ac:dyDescent="0.25">
      <c r="A26" s="39" t="s">
        <v>484</v>
      </c>
      <c r="B26" s="419"/>
      <c r="C26" s="749">
        <v>26136302</v>
      </c>
      <c r="D26" s="746">
        <v>28967131</v>
      </c>
      <c r="E26" s="746">
        <v>28266131</v>
      </c>
      <c r="F26" s="734">
        <v>2205321.12</v>
      </c>
      <c r="G26" s="734">
        <v>13216697.16</v>
      </c>
      <c r="H26" s="734">
        <v>12662443.319999998</v>
      </c>
      <c r="I26" s="44">
        <f t="shared" si="3"/>
        <v>554253.84000000171</v>
      </c>
      <c r="J26" s="330">
        <f t="shared" si="4"/>
        <v>4.377147648310277E-2</v>
      </c>
      <c r="K26" s="736">
        <v>28967131</v>
      </c>
    </row>
    <row r="27" spans="1:11" ht="12.75" customHeight="1" x14ac:dyDescent="0.25">
      <c r="A27" s="86" t="s">
        <v>620</v>
      </c>
      <c r="B27" s="421"/>
      <c r="C27" s="749">
        <v>132298457</v>
      </c>
      <c r="D27" s="746">
        <v>72600000</v>
      </c>
      <c r="E27" s="746">
        <v>53057400</v>
      </c>
      <c r="F27" s="734"/>
      <c r="G27" s="734"/>
      <c r="H27" s="734"/>
      <c r="I27" s="44">
        <f t="shared" si="3"/>
        <v>0</v>
      </c>
      <c r="J27" s="330" t="str">
        <f t="shared" si="4"/>
        <v/>
      </c>
      <c r="K27" s="736">
        <v>72600000</v>
      </c>
    </row>
    <row r="28" spans="1:11" ht="12.75" customHeight="1" x14ac:dyDescent="0.25">
      <c r="A28" s="86" t="s">
        <v>673</v>
      </c>
      <c r="B28" s="421"/>
      <c r="C28" s="749">
        <v>127724087</v>
      </c>
      <c r="D28" s="746">
        <v>134196513</v>
      </c>
      <c r="E28" s="746">
        <v>130000000</v>
      </c>
      <c r="F28" s="734"/>
      <c r="G28" s="734"/>
      <c r="H28" s="734"/>
      <c r="I28" s="44">
        <f t="shared" si="3"/>
        <v>0</v>
      </c>
      <c r="J28" s="330" t="str">
        <f t="shared" si="4"/>
        <v/>
      </c>
      <c r="K28" s="736">
        <v>134196513</v>
      </c>
    </row>
    <row r="29" spans="1:11" ht="12.75" customHeight="1" x14ac:dyDescent="0.25">
      <c r="A29" s="86" t="s">
        <v>459</v>
      </c>
      <c r="B29" s="421"/>
      <c r="C29" s="749">
        <v>11973760</v>
      </c>
      <c r="D29" s="746">
        <v>14658314</v>
      </c>
      <c r="E29" s="746">
        <v>14658314</v>
      </c>
      <c r="F29" s="734">
        <v>2783134.38</v>
      </c>
      <c r="G29" s="734">
        <v>7392184.7800000003</v>
      </c>
      <c r="H29" s="734">
        <v>4680920.99</v>
      </c>
      <c r="I29" s="44">
        <f t="shared" si="3"/>
        <v>2711263.79</v>
      </c>
      <c r="J29" s="330">
        <f t="shared" si="4"/>
        <v>0.57921588418009162</v>
      </c>
      <c r="K29" s="736">
        <v>14658314</v>
      </c>
    </row>
    <row r="30" spans="1:11" ht="12.75" customHeight="1" x14ac:dyDescent="0.25">
      <c r="A30" s="86" t="s">
        <v>857</v>
      </c>
      <c r="B30" s="421"/>
      <c r="C30" s="749">
        <v>348443869</v>
      </c>
      <c r="D30" s="746">
        <v>403000000</v>
      </c>
      <c r="E30" s="746">
        <v>403000000</v>
      </c>
      <c r="F30" s="734">
        <v>86149888.620000005</v>
      </c>
      <c r="G30" s="734">
        <v>178810504.62</v>
      </c>
      <c r="H30" s="734">
        <v>150499364.65000001</v>
      </c>
      <c r="I30" s="44">
        <f t="shared" si="3"/>
        <v>28311139.969999999</v>
      </c>
      <c r="J30" s="330">
        <f t="shared" si="4"/>
        <v>0.18811468098779111</v>
      </c>
      <c r="K30" s="736">
        <v>403000000</v>
      </c>
    </row>
    <row r="31" spans="1:11" ht="12.75" customHeight="1" x14ac:dyDescent="0.25">
      <c r="A31" s="86" t="s">
        <v>935</v>
      </c>
      <c r="B31" s="421"/>
      <c r="C31" s="749">
        <v>42157906</v>
      </c>
      <c r="D31" s="746">
        <v>71608248.810000002</v>
      </c>
      <c r="E31" s="746">
        <v>54968561.810000002</v>
      </c>
      <c r="F31" s="734">
        <v>3808075.689999999</v>
      </c>
      <c r="G31" s="734">
        <v>22815669.389999997</v>
      </c>
      <c r="H31" s="734">
        <v>28448052.970000003</v>
      </c>
      <c r="I31" s="44">
        <f t="shared" si="3"/>
        <v>-5632383.5800000057</v>
      </c>
      <c r="J31" s="330">
        <f t="shared" si="4"/>
        <v>-0.1979883679891786</v>
      </c>
      <c r="K31" s="736">
        <v>71608248.810000002</v>
      </c>
    </row>
    <row r="32" spans="1:11" ht="12.75" customHeight="1" x14ac:dyDescent="0.25">
      <c r="A32" s="86" t="s">
        <v>858</v>
      </c>
      <c r="B32" s="421"/>
      <c r="C32" s="749">
        <v>51435443</v>
      </c>
      <c r="D32" s="746">
        <v>74244882</v>
      </c>
      <c r="E32" s="746">
        <v>67815519</v>
      </c>
      <c r="F32" s="734">
        <v>6210916.5100000007</v>
      </c>
      <c r="G32" s="734">
        <v>32506670.379999999</v>
      </c>
      <c r="H32" s="734">
        <v>22757519.380000003</v>
      </c>
      <c r="I32" s="44">
        <f t="shared" si="3"/>
        <v>9749150.9999999963</v>
      </c>
      <c r="J32" s="330">
        <f t="shared" si="4"/>
        <v>0.4283925166539832</v>
      </c>
      <c r="K32" s="736">
        <v>74244882</v>
      </c>
    </row>
    <row r="33" spans="1:12" ht="12.75" customHeight="1" x14ac:dyDescent="0.25">
      <c r="A33" s="517" t="s">
        <v>1127</v>
      </c>
      <c r="B33" s="421"/>
      <c r="C33" s="749">
        <v>50297361</v>
      </c>
      <c r="D33" s="746">
        <v>36021812</v>
      </c>
      <c r="E33" s="746">
        <v>34666106.270000003</v>
      </c>
      <c r="F33" s="734">
        <v>2149446.38</v>
      </c>
      <c r="G33" s="734">
        <v>9590172.4600000009</v>
      </c>
      <c r="H33" s="734">
        <v>6370994.6799999997</v>
      </c>
      <c r="I33" s="44">
        <f t="shared" si="3"/>
        <v>3219177.7800000012</v>
      </c>
      <c r="J33" s="330">
        <f t="shared" si="4"/>
        <v>0.50528652772317195</v>
      </c>
      <c r="K33" s="736">
        <v>36021812</v>
      </c>
    </row>
    <row r="34" spans="1:12" ht="12.75" customHeight="1" x14ac:dyDescent="0.25">
      <c r="A34" s="86" t="s">
        <v>440</v>
      </c>
      <c r="B34" s="421"/>
      <c r="C34" s="749">
        <v>126645010</v>
      </c>
      <c r="D34" s="746">
        <v>121042687.19000001</v>
      </c>
      <c r="E34" s="746">
        <v>116630180.19000001</v>
      </c>
      <c r="F34" s="734">
        <v>19416044.010000002</v>
      </c>
      <c r="G34" s="734">
        <v>82373397.739999995</v>
      </c>
      <c r="H34" s="734">
        <v>195673.34000000003</v>
      </c>
      <c r="I34" s="44">
        <f t="shared" si="3"/>
        <v>82177724.399999991</v>
      </c>
      <c r="J34" s="330">
        <f t="shared" si="4"/>
        <v>419.9740465410361</v>
      </c>
      <c r="K34" s="736">
        <v>121042687.19000001</v>
      </c>
    </row>
    <row r="35" spans="1:12" ht="12.75" customHeight="1" x14ac:dyDescent="0.25">
      <c r="A35" s="39" t="s">
        <v>587</v>
      </c>
      <c r="B35" s="419"/>
      <c r="C35" s="749"/>
      <c r="D35" s="746"/>
      <c r="E35" s="734"/>
      <c r="F35" s="734"/>
      <c r="G35" s="734"/>
      <c r="H35" s="734">
        <v>71047180.759999976</v>
      </c>
      <c r="I35" s="44">
        <f t="shared" si="3"/>
        <v>-71047180.759999976</v>
      </c>
      <c r="J35" s="330">
        <f t="shared" si="4"/>
        <v>-1</v>
      </c>
      <c r="K35" s="736"/>
    </row>
    <row r="36" spans="1:12" ht="12.75" customHeight="1" x14ac:dyDescent="0.25">
      <c r="A36" s="92" t="s">
        <v>495</v>
      </c>
      <c r="B36" s="422"/>
      <c r="C36" s="243">
        <f t="shared" ref="C36:K36" si="5">SUM(C25:C35)</f>
        <v>1212344666</v>
      </c>
      <c r="D36" s="74">
        <f>SUM(D25:D35)</f>
        <v>1313896978.96</v>
      </c>
      <c r="E36" s="73">
        <f>SUM(E25:E35)</f>
        <v>1228545631.6199999</v>
      </c>
      <c r="F36" s="73">
        <f t="shared" si="5"/>
        <v>148863527.03999999</v>
      </c>
      <c r="G36" s="73">
        <f t="shared" si="5"/>
        <v>504242527.14000005</v>
      </c>
      <c r="H36" s="73">
        <f t="shared" si="5"/>
        <v>444440195.72000003</v>
      </c>
      <c r="I36" s="73">
        <f t="shared" si="3"/>
        <v>59802331.420000017</v>
      </c>
      <c r="J36" s="331">
        <f t="shared" si="4"/>
        <v>0.13455653200566009</v>
      </c>
      <c r="K36" s="145">
        <f t="shared" si="5"/>
        <v>1313896978.96</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6">C22-C36</f>
        <v>-153141872.44999993</v>
      </c>
      <c r="D38" s="51">
        <f t="shared" si="6"/>
        <v>-44270521.960000038</v>
      </c>
      <c r="E38" s="50">
        <f t="shared" si="6"/>
        <v>35117931.650000095</v>
      </c>
      <c r="F38" s="50">
        <f t="shared" si="6"/>
        <v>38428847.629999995</v>
      </c>
      <c r="G38" s="50">
        <f t="shared" si="6"/>
        <v>228709877.27000004</v>
      </c>
      <c r="H38" s="50">
        <f t="shared" si="6"/>
        <v>218265355.67999995</v>
      </c>
      <c r="I38" s="102">
        <f>I22-I36</f>
        <v>10444521.590000093</v>
      </c>
      <c r="J38" s="102">
        <f t="shared" si="4"/>
        <v>4.7852402216835843E-2</v>
      </c>
      <c r="K38" s="194">
        <f>K22-K36</f>
        <v>-44270521.960000038</v>
      </c>
    </row>
    <row r="39" spans="1:12" ht="19.899999999999999" customHeight="1" x14ac:dyDescent="0.25">
      <c r="A39" s="939" t="s">
        <v>1128</v>
      </c>
      <c r="B39" s="419"/>
      <c r="C39" s="749">
        <v>76150621.189999998</v>
      </c>
      <c r="D39" s="746">
        <v>89549850</v>
      </c>
      <c r="E39" s="746">
        <v>89549850</v>
      </c>
      <c r="F39" s="734">
        <v>0</v>
      </c>
      <c r="G39" s="734">
        <v>63718000</v>
      </c>
      <c r="H39" s="734">
        <v>78467000</v>
      </c>
      <c r="I39" s="47">
        <f>G39-H39</f>
        <v>-14749000</v>
      </c>
      <c r="J39" s="102">
        <f t="shared" si="4"/>
        <v>-0.18796436718620566</v>
      </c>
      <c r="K39" s="736">
        <v>89549850</v>
      </c>
    </row>
    <row r="40" spans="1:12" ht="39.6" customHeight="1" x14ac:dyDescent="0.25">
      <c r="A40" s="939" t="s">
        <v>1129</v>
      </c>
      <c r="B40" s="419"/>
      <c r="C40" s="749"/>
      <c r="D40" s="746"/>
      <c r="E40" s="734"/>
      <c r="F40" s="734"/>
      <c r="G40" s="734"/>
      <c r="H40" s="734"/>
      <c r="I40" s="47">
        <f>G40-H40</f>
        <v>0</v>
      </c>
      <c r="J40" s="102" t="str">
        <f t="shared" si="4"/>
        <v/>
      </c>
      <c r="K40" s="736"/>
    </row>
    <row r="41" spans="1:12" ht="12.75" customHeight="1" x14ac:dyDescent="0.25">
      <c r="A41" s="518" t="s">
        <v>1130</v>
      </c>
      <c r="B41" s="419"/>
      <c r="C41" s="750"/>
      <c r="D41" s="751"/>
      <c r="E41" s="752"/>
      <c r="F41" s="752"/>
      <c r="G41" s="752"/>
      <c r="H41" s="752"/>
      <c r="I41" s="47">
        <f>G41-H41</f>
        <v>0</v>
      </c>
      <c r="J41" s="102" t="str">
        <f t="shared" si="4"/>
        <v/>
      </c>
      <c r="K41" s="753"/>
    </row>
    <row r="42" spans="1:12" ht="25.5" x14ac:dyDescent="0.25">
      <c r="A42" s="250" t="s">
        <v>763</v>
      </c>
      <c r="B42" s="521"/>
      <c r="C42" s="252">
        <f t="shared" ref="C42:H42" si="7">C38+SUM(C39:C41)</f>
        <v>-76991251.259999931</v>
      </c>
      <c r="D42" s="253">
        <f t="shared" si="7"/>
        <v>45279328.039999962</v>
      </c>
      <c r="E42" s="254">
        <f t="shared" si="7"/>
        <v>124667781.6500001</v>
      </c>
      <c r="F42" s="254">
        <f t="shared" si="7"/>
        <v>38428847.629999995</v>
      </c>
      <c r="G42" s="254">
        <f t="shared" si="7"/>
        <v>292427877.27000004</v>
      </c>
      <c r="H42" s="254">
        <f t="shared" si="7"/>
        <v>296732355.67999995</v>
      </c>
      <c r="I42" s="329"/>
      <c r="J42" s="329"/>
      <c r="K42" s="255">
        <f>K38+SUM(K39:K41)</f>
        <v>45279328.039999962</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8">C42-C43</f>
        <v>-76991251.259999931</v>
      </c>
      <c r="D44" s="51">
        <f t="shared" si="8"/>
        <v>45279328.039999962</v>
      </c>
      <c r="E44" s="50">
        <f t="shared" si="8"/>
        <v>124667781.6500001</v>
      </c>
      <c r="F44" s="50">
        <f t="shared" si="8"/>
        <v>38428847.629999995</v>
      </c>
      <c r="G44" s="50">
        <f t="shared" si="8"/>
        <v>292427877.27000004</v>
      </c>
      <c r="H44" s="50">
        <f t="shared" si="8"/>
        <v>296732355.67999995</v>
      </c>
      <c r="I44" s="327"/>
      <c r="J44" s="327"/>
      <c r="K44" s="194">
        <f>K42-K43</f>
        <v>45279328.039999962</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9">SUM(C44:C45)</f>
        <v>-76991251.259999931</v>
      </c>
      <c r="D46" s="530">
        <f t="shared" si="9"/>
        <v>45279328.039999962</v>
      </c>
      <c r="E46" s="528">
        <f t="shared" si="9"/>
        <v>124667781.6500001</v>
      </c>
      <c r="F46" s="528">
        <f t="shared" si="9"/>
        <v>38428847.629999995</v>
      </c>
      <c r="G46" s="528">
        <f t="shared" si="9"/>
        <v>292427877.27000004</v>
      </c>
      <c r="H46" s="528">
        <f t="shared" si="9"/>
        <v>296732355.67999995</v>
      </c>
      <c r="I46" s="273"/>
      <c r="J46" s="273"/>
      <c r="K46" s="529">
        <f>SUM(K44:K45)</f>
        <v>45279328.039999962</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907</v>
      </c>
      <c r="B48" s="418"/>
      <c r="C48" s="244">
        <f t="shared" ref="C48:H48" si="10">C46+C47</f>
        <v>-76991251.259999931</v>
      </c>
      <c r="D48" s="77">
        <f t="shared" si="10"/>
        <v>45279328.039999962</v>
      </c>
      <c r="E48" s="76">
        <f t="shared" si="10"/>
        <v>124667781.6500001</v>
      </c>
      <c r="F48" s="76">
        <f t="shared" si="10"/>
        <v>38428847.629999995</v>
      </c>
      <c r="G48" s="76">
        <f t="shared" si="10"/>
        <v>292427877.27000004</v>
      </c>
      <c r="H48" s="76">
        <f t="shared" si="10"/>
        <v>296732355.67999995</v>
      </c>
      <c r="I48" s="334"/>
      <c r="J48" s="334"/>
      <c r="K48" s="234">
        <f>K46+K47</f>
        <v>45279328.039999962</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1">C22+SUM(C39:C41)</f>
        <v>1135353414.74</v>
      </c>
      <c r="D53" s="62">
        <f t="shared" si="11"/>
        <v>1359176307</v>
      </c>
      <c r="E53" s="62">
        <f t="shared" si="11"/>
        <v>1353213413.27</v>
      </c>
      <c r="F53" s="62">
        <f t="shared" si="11"/>
        <v>187292374.66999999</v>
      </c>
      <c r="G53" s="62">
        <f t="shared" si="11"/>
        <v>796670404.41000009</v>
      </c>
      <c r="H53" s="62">
        <f t="shared" si="11"/>
        <v>741172551.39999998</v>
      </c>
      <c r="I53" s="62"/>
      <c r="J53" s="62"/>
      <c r="K53" s="62">
        <f>K22+SUM(K39:K41)</f>
        <v>1359176307</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5"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74" activePane="bottomRight" state="frozen"/>
      <selection pane="topRight"/>
      <selection pane="bottomLeft"/>
      <selection pane="bottomRight" activeCell="H31" sqref="H31"/>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6" t="str">
        <f>muni&amp; " - "&amp;S71D&amp; " - "&amp;date</f>
        <v>LIM333 Greater Tzaneen - Table C5 Consolidated Monthly Budget Statement - Capital Expenditure (municipal vote, functional classification and funding  - M06 December</v>
      </c>
      <c r="B1" s="1026"/>
      <c r="C1" s="1026"/>
      <c r="D1" s="1026"/>
      <c r="E1" s="1026"/>
      <c r="F1" s="1026"/>
      <c r="G1" s="1026"/>
      <c r="H1" s="1026"/>
      <c r="I1" s="1026"/>
      <c r="J1" s="1026"/>
      <c r="K1" s="1026"/>
    </row>
    <row r="2" spans="1:12" x14ac:dyDescent="0.25">
      <c r="A2" s="1024" t="str">
        <f>Vdesc</f>
        <v>Vote Description</v>
      </c>
      <c r="B2" s="1033" t="str">
        <f>head27</f>
        <v>Ref</v>
      </c>
      <c r="C2" s="139" t="str">
        <f>Head1</f>
        <v>2018/19</v>
      </c>
      <c r="D2" s="245" t="str">
        <f>Head2</f>
        <v>Budget Year 2019/20</v>
      </c>
      <c r="E2" s="229"/>
      <c r="F2" s="229"/>
      <c r="G2" s="229"/>
      <c r="H2" s="229"/>
      <c r="I2" s="229"/>
      <c r="J2" s="229"/>
      <c r="K2" s="230"/>
    </row>
    <row r="3" spans="1:12" ht="25.5" x14ac:dyDescent="0.25">
      <c r="A3" s="1025"/>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676</v>
      </c>
      <c r="B4" s="418">
        <v>1</v>
      </c>
      <c r="C4" s="187"/>
      <c r="D4" s="246"/>
      <c r="E4" s="241"/>
      <c r="F4" s="82"/>
      <c r="G4" s="82"/>
      <c r="H4" s="82"/>
      <c r="I4" s="82"/>
      <c r="J4" s="242" t="s">
        <v>583</v>
      </c>
      <c r="K4" s="223"/>
    </row>
    <row r="5" spans="1:12" ht="11.25" customHeight="1" x14ac:dyDescent="0.25">
      <c r="A5" s="182" t="s">
        <v>671</v>
      </c>
      <c r="B5" s="519">
        <v>2</v>
      </c>
      <c r="C5" s="134"/>
      <c r="D5" s="258"/>
      <c r="E5" s="44"/>
      <c r="F5" s="44"/>
      <c r="G5" s="44"/>
      <c r="H5" s="44"/>
      <c r="I5" s="44"/>
      <c r="J5" s="44"/>
      <c r="K5" s="144"/>
      <c r="L5" s="100"/>
    </row>
    <row r="6" spans="1:12" ht="13.5" customHeight="1" x14ac:dyDescent="0.25">
      <c r="A6" s="407" t="str">
        <f>'Org structure'!A2</f>
        <v>Vote 1 - Municipal Manager</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Planning &amp; Economic Development</v>
      </c>
      <c r="B7" s="419"/>
      <c r="C7" s="649">
        <f>'C5C'!C18</f>
        <v>0</v>
      </c>
      <c r="D7" s="671">
        <f>'C5C'!D18</f>
        <v>0</v>
      </c>
      <c r="E7" s="408">
        <f>'C5C'!E18</f>
        <v>0</v>
      </c>
      <c r="F7" s="408">
        <f>'C5C'!F18</f>
        <v>0</v>
      </c>
      <c r="G7" s="408">
        <f>'C5C'!G18</f>
        <v>0</v>
      </c>
      <c r="H7" s="408">
        <f>'C5C'!H18</f>
        <v>0</v>
      </c>
      <c r="I7" s="44">
        <f>G7-H7</f>
        <v>0</v>
      </c>
      <c r="J7" s="330" t="str">
        <f>IF(I7=0,"",I7/H7)</f>
        <v/>
      </c>
      <c r="K7" s="643">
        <f>'C5C'!K18</f>
        <v>0</v>
      </c>
      <c r="L7" s="100"/>
    </row>
    <row r="8" spans="1:12" ht="13.5" customHeight="1" x14ac:dyDescent="0.25">
      <c r="A8" s="407" t="str">
        <f>'Org structure'!A4</f>
        <v>Vote 3 - Financial Services</v>
      </c>
      <c r="B8" s="419"/>
      <c r="C8" s="649">
        <f>'C5C'!C29</f>
        <v>0</v>
      </c>
      <c r="D8" s="671">
        <f>'C5C'!D29</f>
        <v>0</v>
      </c>
      <c r="E8" s="408">
        <f>'C5C'!E29</f>
        <v>0</v>
      </c>
      <c r="F8" s="408">
        <f>'C5C'!F29</f>
        <v>0</v>
      </c>
      <c r="G8" s="408">
        <f>'C5C'!G29</f>
        <v>0</v>
      </c>
      <c r="H8" s="408">
        <f>'C5C'!H29</f>
        <v>0</v>
      </c>
      <c r="I8" s="44">
        <f t="shared" ref="I8:I17" si="0">G8-H8</f>
        <v>0</v>
      </c>
      <c r="J8" s="330" t="str">
        <f t="shared" ref="J8:J17" si="1">IF(I8=0,"",I8/H8)</f>
        <v/>
      </c>
      <c r="K8" s="643">
        <f>'C5C'!K29</f>
        <v>0</v>
      </c>
      <c r="L8" s="698"/>
    </row>
    <row r="9" spans="1:12" ht="13.5" customHeight="1" x14ac:dyDescent="0.25">
      <c r="A9" s="407" t="str">
        <f>'Org structure'!A5</f>
        <v>Vote 4 - Corporate Services</v>
      </c>
      <c r="B9" s="419"/>
      <c r="C9" s="649">
        <f>'C5C'!C40</f>
        <v>0</v>
      </c>
      <c r="D9" s="671">
        <f>'C5C'!D40</f>
        <v>0</v>
      </c>
      <c r="E9" s="408">
        <f>'C5C'!E40</f>
        <v>0</v>
      </c>
      <c r="F9" s="408">
        <f>'C5C'!F40</f>
        <v>0</v>
      </c>
      <c r="G9" s="408">
        <f>'C5C'!G40</f>
        <v>0</v>
      </c>
      <c r="H9" s="408">
        <f>'C5C'!H40</f>
        <v>0</v>
      </c>
      <c r="I9" s="44">
        <f t="shared" si="0"/>
        <v>0</v>
      </c>
      <c r="J9" s="330" t="str">
        <f t="shared" si="1"/>
        <v/>
      </c>
      <c r="K9" s="643">
        <f>'C5C'!K40</f>
        <v>0</v>
      </c>
      <c r="L9" s="698"/>
    </row>
    <row r="10" spans="1:12" ht="13.5" customHeight="1" x14ac:dyDescent="0.25">
      <c r="A10" s="407" t="str">
        <f>'Org structure'!A6</f>
        <v>Vote 5 - Community Services</v>
      </c>
      <c r="B10" s="419"/>
      <c r="C10" s="649">
        <f>'C5C'!C51</f>
        <v>0</v>
      </c>
      <c r="D10" s="671">
        <f>'C5C'!D51</f>
        <v>0</v>
      </c>
      <c r="E10" s="408">
        <f>'C5C'!E51</f>
        <v>0</v>
      </c>
      <c r="F10" s="408">
        <f>'C5C'!F51</f>
        <v>0</v>
      </c>
      <c r="G10" s="408">
        <f>'C5C'!G51</f>
        <v>0</v>
      </c>
      <c r="H10" s="408">
        <f>'C5C'!H51</f>
        <v>0</v>
      </c>
      <c r="I10" s="44">
        <f t="shared" si="0"/>
        <v>0</v>
      </c>
      <c r="J10" s="330" t="str">
        <f t="shared" si="1"/>
        <v/>
      </c>
      <c r="K10" s="643">
        <f>'C5C'!K51</f>
        <v>0</v>
      </c>
      <c r="L10" s="698"/>
    </row>
    <row r="11" spans="1:12" ht="13.5" customHeight="1" x14ac:dyDescent="0.25">
      <c r="A11" s="407" t="str">
        <f>'Org structure'!A7</f>
        <v>Vote 6 - Community Services</v>
      </c>
      <c r="B11" s="419"/>
      <c r="C11" s="649">
        <f>'C5C'!C62</f>
        <v>0</v>
      </c>
      <c r="D11" s="671">
        <f>'C5C'!D62</f>
        <v>0</v>
      </c>
      <c r="E11" s="408">
        <f>'C5C'!E62</f>
        <v>0</v>
      </c>
      <c r="F11" s="408">
        <f>'C5C'!F62</f>
        <v>0</v>
      </c>
      <c r="G11" s="408">
        <f>'C5C'!G62</f>
        <v>0</v>
      </c>
      <c r="H11" s="408">
        <f>'C5C'!H62</f>
        <v>0</v>
      </c>
      <c r="I11" s="44">
        <f t="shared" si="0"/>
        <v>0</v>
      </c>
      <c r="J11" s="330" t="str">
        <f t="shared" si="1"/>
        <v/>
      </c>
      <c r="K11" s="643">
        <f>'C5C'!K62</f>
        <v>0</v>
      </c>
      <c r="L11" s="698"/>
    </row>
    <row r="12" spans="1:12" ht="13.5" customHeight="1" x14ac:dyDescent="0.25">
      <c r="A12" s="407" t="str">
        <f>'Org structure'!A8</f>
        <v>Vote 7 - Electrical Engineering Services</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Engineering Services</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GTEDA</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770</v>
      </c>
      <c r="B21" s="419" t="s">
        <v>532</v>
      </c>
      <c r="C21" s="516">
        <f>SUM(C6:C20)</f>
        <v>0</v>
      </c>
      <c r="D21" s="545">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Municipal Manager</v>
      </c>
      <c r="B24" s="419"/>
      <c r="C24" s="134">
        <f>'C5C'!C176</f>
        <v>6059</v>
      </c>
      <c r="D24" s="258">
        <f>'C5C'!D176</f>
        <v>1900000</v>
      </c>
      <c r="E24" s="44">
        <f>'C5C'!E176</f>
        <v>1900000</v>
      </c>
      <c r="F24" s="44">
        <f>'C5C'!F176</f>
        <v>0</v>
      </c>
      <c r="G24" s="44">
        <f>'C5C'!G176</f>
        <v>0</v>
      </c>
      <c r="H24" s="44">
        <f>'C5C'!H176</f>
        <v>0</v>
      </c>
      <c r="I24" s="44">
        <f>'C5C'!I176</f>
        <v>0</v>
      </c>
      <c r="J24" s="330" t="str">
        <f>IF(I24=0,"",I24/H24)</f>
        <v/>
      </c>
      <c r="K24" s="144">
        <f>'C5C'!K176</f>
        <v>1900000</v>
      </c>
      <c r="L24" s="100"/>
    </row>
    <row r="25" spans="1:12" ht="12.75" customHeight="1" x14ac:dyDescent="0.25">
      <c r="A25" s="407" t="str">
        <f>'Org structure'!A3</f>
        <v>Vote 2 - Planning &amp; Economic Development</v>
      </c>
      <c r="B25" s="419"/>
      <c r="C25" s="134">
        <f>'C5C'!C187</f>
        <v>13891</v>
      </c>
      <c r="D25" s="258">
        <f>'C5C'!D187</f>
        <v>1235000</v>
      </c>
      <c r="E25" s="44">
        <f>'C5C'!E187</f>
        <v>1235000</v>
      </c>
      <c r="F25" s="44">
        <f>'C5C'!F187</f>
        <v>0</v>
      </c>
      <c r="G25" s="44">
        <f>'C5C'!G187</f>
        <v>0</v>
      </c>
      <c r="H25" s="44">
        <f>'C5C'!H187</f>
        <v>0</v>
      </c>
      <c r="I25" s="44">
        <f>'C5C'!I187</f>
        <v>0</v>
      </c>
      <c r="J25" s="330" t="str">
        <f t="shared" ref="J25:J39" si="3">IF(I25=0,"",I25/H25)</f>
        <v/>
      </c>
      <c r="K25" s="144">
        <f>'C5C'!K187</f>
        <v>1235000</v>
      </c>
      <c r="L25" s="100"/>
    </row>
    <row r="26" spans="1:12" ht="12.75" customHeight="1" x14ac:dyDescent="0.25">
      <c r="A26" s="407" t="str">
        <f>'Org structure'!A4</f>
        <v>Vote 3 - Financial Services</v>
      </c>
      <c r="B26" s="419"/>
      <c r="C26" s="134">
        <f>'C5C'!C198</f>
        <v>3619175.39</v>
      </c>
      <c r="D26" s="258">
        <f>'C5C'!D198</f>
        <v>0</v>
      </c>
      <c r="E26" s="44">
        <f>'C5C'!E198</f>
        <v>0</v>
      </c>
      <c r="F26" s="44">
        <f>'C5C'!F198</f>
        <v>0</v>
      </c>
      <c r="G26" s="44">
        <f>'C5C'!G198</f>
        <v>0</v>
      </c>
      <c r="H26" s="44">
        <f>'C5C'!H198</f>
        <v>0</v>
      </c>
      <c r="I26" s="44">
        <f>'C5C'!I198</f>
        <v>0</v>
      </c>
      <c r="J26" s="330" t="str">
        <f t="shared" si="3"/>
        <v/>
      </c>
      <c r="K26" s="144">
        <f>'C5C'!K198</f>
        <v>0</v>
      </c>
      <c r="L26" s="698"/>
    </row>
    <row r="27" spans="1:12" ht="12.75" customHeight="1" x14ac:dyDescent="0.25">
      <c r="A27" s="407" t="str">
        <f>'Org structure'!A5</f>
        <v>Vote 4 - Corporate Services</v>
      </c>
      <c r="B27" s="419"/>
      <c r="C27" s="134">
        <f>'C5C'!C209</f>
        <v>7920181.2000000002</v>
      </c>
      <c r="D27" s="258">
        <f>'C5C'!D209</f>
        <v>0</v>
      </c>
      <c r="E27" s="44">
        <f>'C5C'!E209</f>
        <v>0</v>
      </c>
      <c r="F27" s="44">
        <f>'C5C'!F209</f>
        <v>0</v>
      </c>
      <c r="G27" s="44">
        <f>'C5C'!G209</f>
        <v>0</v>
      </c>
      <c r="H27" s="44">
        <f>'C5C'!H209</f>
        <v>0</v>
      </c>
      <c r="I27" s="44">
        <f>'C5C'!I209</f>
        <v>0</v>
      </c>
      <c r="J27" s="330" t="str">
        <f t="shared" si="3"/>
        <v/>
      </c>
      <c r="K27" s="144">
        <f>'C5C'!K209</f>
        <v>0</v>
      </c>
      <c r="L27" s="698"/>
    </row>
    <row r="28" spans="1:12" ht="12.75" customHeight="1" x14ac:dyDescent="0.25">
      <c r="A28" s="407" t="str">
        <f>'Org structure'!A6</f>
        <v>Vote 5 - Community Services</v>
      </c>
      <c r="B28" s="419"/>
      <c r="C28" s="134">
        <f>'C5C'!C220</f>
        <v>554302.11</v>
      </c>
      <c r="D28" s="258">
        <f>'C5C'!D220</f>
        <v>1885000</v>
      </c>
      <c r="E28" s="44">
        <f>'C5C'!E220</f>
        <v>1885000</v>
      </c>
      <c r="F28" s="44">
        <f>'C5C'!F220</f>
        <v>0</v>
      </c>
      <c r="G28" s="44">
        <f>'C5C'!G220</f>
        <v>0</v>
      </c>
      <c r="H28" s="44">
        <f>'C5C'!H220</f>
        <v>0</v>
      </c>
      <c r="I28" s="44">
        <f>'C5C'!I220</f>
        <v>0</v>
      </c>
      <c r="J28" s="330" t="str">
        <f t="shared" si="3"/>
        <v/>
      </c>
      <c r="K28" s="144">
        <f>'C5C'!K220</f>
        <v>1885000</v>
      </c>
      <c r="L28" s="698"/>
    </row>
    <row r="29" spans="1:12" ht="12.75" customHeight="1" x14ac:dyDescent="0.25">
      <c r="A29" s="407" t="str">
        <f>'Org structure'!A7</f>
        <v>Vote 6 - Community Services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8"/>
    </row>
    <row r="30" spans="1:12" ht="12.75" customHeight="1" x14ac:dyDescent="0.25">
      <c r="A30" s="407" t="str">
        <f>'Org structure'!A8</f>
        <v>Vote 7 - Electrical Engineering Services</v>
      </c>
      <c r="B30" s="419"/>
      <c r="C30" s="134">
        <f>'C5C'!C242</f>
        <v>36071006</v>
      </c>
      <c r="D30" s="258">
        <f>'C5C'!D242</f>
        <v>35000000</v>
      </c>
      <c r="E30" s="44">
        <f>'C5C'!E242</f>
        <v>35000000</v>
      </c>
      <c r="F30" s="44">
        <f>'C5C'!F242</f>
        <v>14913975.459999999</v>
      </c>
      <c r="G30" s="44">
        <f>'C5C'!G242</f>
        <v>24414098.59</v>
      </c>
      <c r="H30" s="44">
        <f>'C5C'!H242</f>
        <v>26360000</v>
      </c>
      <c r="I30" s="44">
        <f>'C5C'!I242</f>
        <v>-1945901.4100000001</v>
      </c>
      <c r="J30" s="330">
        <f t="shared" si="3"/>
        <v>-7.3820235584218519E-2</v>
      </c>
      <c r="K30" s="144">
        <f>'C5C'!K242</f>
        <v>35000000</v>
      </c>
      <c r="L30" s="698"/>
    </row>
    <row r="31" spans="1:12" ht="12.75" customHeight="1" x14ac:dyDescent="0.25">
      <c r="A31" s="407" t="str">
        <f>'Org structure'!A9</f>
        <v>Vote 8 - Engineering Services</v>
      </c>
      <c r="B31" s="419"/>
      <c r="C31" s="134">
        <f>'C5C'!C253</f>
        <v>55263213.810000002</v>
      </c>
      <c r="D31" s="258">
        <f>'C5C'!D253</f>
        <v>102699850</v>
      </c>
      <c r="E31" s="44">
        <f>'C5C'!E253</f>
        <v>102699850</v>
      </c>
      <c r="F31" s="44">
        <f>'C5C'!F253</f>
        <v>10400691.960000001</v>
      </c>
      <c r="G31" s="44">
        <f>'C5C'!G253</f>
        <v>50211401.859999992</v>
      </c>
      <c r="H31" s="44">
        <f>'C5C'!H253</f>
        <v>53180000</v>
      </c>
      <c r="I31" s="44">
        <f>'C5C'!I253</f>
        <v>-2968598.140000008</v>
      </c>
      <c r="J31" s="330">
        <f t="shared" si="3"/>
        <v>-5.5821702519744415E-2</v>
      </c>
      <c r="K31" s="144">
        <f>'C5C'!K253</f>
        <v>102699850</v>
      </c>
      <c r="L31" s="698"/>
    </row>
    <row r="32" spans="1:12" ht="12.75" customHeight="1" x14ac:dyDescent="0.25">
      <c r="A32" s="407" t="str">
        <f>'Org structure'!A10</f>
        <v>Vote 9 - GTEDA</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771</v>
      </c>
      <c r="B39" s="520">
        <v>4</v>
      </c>
      <c r="C39" s="261">
        <f t="shared" ref="C39:I39" si="4">SUM(C24:C38)</f>
        <v>103447828.51000001</v>
      </c>
      <c r="D39" s="262">
        <f t="shared" si="4"/>
        <v>142719850</v>
      </c>
      <c r="E39" s="161">
        <f t="shared" si="4"/>
        <v>142719850</v>
      </c>
      <c r="F39" s="161">
        <f t="shared" si="4"/>
        <v>25314667.420000002</v>
      </c>
      <c r="G39" s="161">
        <f t="shared" si="4"/>
        <v>74625500.449999988</v>
      </c>
      <c r="H39" s="161">
        <f t="shared" si="4"/>
        <v>79540000</v>
      </c>
      <c r="I39" s="73">
        <f t="shared" si="4"/>
        <v>-4914499.5500000082</v>
      </c>
      <c r="J39" s="331">
        <f t="shared" si="3"/>
        <v>-6.1786516846869602E-2</v>
      </c>
      <c r="K39" s="263">
        <f>SUM(K24:K38)</f>
        <v>142719850</v>
      </c>
      <c r="L39" s="100"/>
    </row>
    <row r="40" spans="1:12" ht="12.75" customHeight="1" x14ac:dyDescent="0.25">
      <c r="A40" s="92" t="s">
        <v>772</v>
      </c>
      <c r="B40" s="422"/>
      <c r="C40" s="243">
        <f t="shared" ref="C40:I40" si="5">C39+C21</f>
        <v>103447828.51000001</v>
      </c>
      <c r="D40" s="260">
        <f t="shared" si="5"/>
        <v>142719850</v>
      </c>
      <c r="E40" s="73">
        <f t="shared" si="5"/>
        <v>142719850</v>
      </c>
      <c r="F40" s="73">
        <f t="shared" si="5"/>
        <v>25314667.420000002</v>
      </c>
      <c r="G40" s="73">
        <f t="shared" si="5"/>
        <v>74625500.449999988</v>
      </c>
      <c r="H40" s="73">
        <f t="shared" si="5"/>
        <v>79540000</v>
      </c>
      <c r="I40" s="73">
        <f t="shared" si="5"/>
        <v>-4914499.5500000082</v>
      </c>
      <c r="J40" s="331">
        <f>IF(I40=0,"",I40/H40)</f>
        <v>-6.1786516846869602E-2</v>
      </c>
      <c r="K40" s="145">
        <f>K39+K21</f>
        <v>142719850</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1223</v>
      </c>
      <c r="B42" s="419"/>
      <c r="C42" s="134"/>
      <c r="D42" s="258"/>
      <c r="E42" s="44"/>
      <c r="F42" s="44"/>
      <c r="G42" s="44"/>
      <c r="H42" s="44"/>
      <c r="I42" s="44"/>
      <c r="J42" s="330"/>
      <c r="K42" s="144"/>
      <c r="L42" s="100"/>
    </row>
    <row r="43" spans="1:12" ht="12.75" customHeight="1" x14ac:dyDescent="0.25">
      <c r="A43" s="414" t="s">
        <v>144</v>
      </c>
      <c r="B43" s="421"/>
      <c r="C43" s="642">
        <f t="shared" ref="C43:H43" si="6">SUM(C44:C46)</f>
        <v>11545415</v>
      </c>
      <c r="D43" s="670">
        <f t="shared" si="6"/>
        <v>1900000</v>
      </c>
      <c r="E43" s="638">
        <f t="shared" si="6"/>
        <v>1900000</v>
      </c>
      <c r="F43" s="638">
        <f t="shared" si="6"/>
        <v>0</v>
      </c>
      <c r="G43" s="638">
        <f t="shared" si="6"/>
        <v>0</v>
      </c>
      <c r="H43" s="638">
        <f t="shared" si="6"/>
        <v>0</v>
      </c>
      <c r="I43" s="44">
        <f t="shared" ref="I43:I62" si="7">G43-H43</f>
        <v>0</v>
      </c>
      <c r="J43" s="330" t="str">
        <f>IF(I43=0,"",I43/H43)</f>
        <v/>
      </c>
      <c r="K43" s="642">
        <f>SUM(K44:K46)</f>
        <v>1900000</v>
      </c>
      <c r="L43" s="100"/>
    </row>
    <row r="44" spans="1:12" ht="12.75" customHeight="1" x14ac:dyDescent="0.25">
      <c r="A44" s="416" t="s">
        <v>112</v>
      </c>
      <c r="B44" s="419"/>
      <c r="C44" s="736">
        <v>6059</v>
      </c>
      <c r="D44" s="754">
        <v>1900000</v>
      </c>
      <c r="E44" s="754">
        <v>1900000</v>
      </c>
      <c r="F44" s="734"/>
      <c r="G44" s="734"/>
      <c r="H44" s="734"/>
      <c r="I44" s="44">
        <f t="shared" si="7"/>
        <v>0</v>
      </c>
      <c r="J44" s="330" t="str">
        <f t="shared" ref="J44:J63" si="8">IF(I44=0,"",I44/H44)</f>
        <v/>
      </c>
      <c r="K44" s="736">
        <v>1900000</v>
      </c>
      <c r="L44" s="100"/>
    </row>
    <row r="45" spans="1:12" ht="12.75" customHeight="1" x14ac:dyDescent="0.25">
      <c r="A45" s="416" t="s">
        <v>1132</v>
      </c>
      <c r="B45" s="419"/>
      <c r="C45" s="755">
        <f>3619175+7920181</f>
        <v>11539356</v>
      </c>
      <c r="D45" s="756"/>
      <c r="E45" s="757"/>
      <c r="F45" s="757"/>
      <c r="G45" s="757"/>
      <c r="H45" s="757">
        <v>0</v>
      </c>
      <c r="I45" s="44">
        <f t="shared" si="7"/>
        <v>0</v>
      </c>
      <c r="J45" s="330" t="str">
        <f t="shared" si="8"/>
        <v/>
      </c>
      <c r="K45" s="755"/>
      <c r="L45" s="100"/>
    </row>
    <row r="46" spans="1:12" ht="12.75" customHeight="1" x14ac:dyDescent="0.25">
      <c r="A46" s="416" t="s">
        <v>1143</v>
      </c>
      <c r="B46" s="419"/>
      <c r="C46" s="736"/>
      <c r="D46" s="754"/>
      <c r="E46" s="734"/>
      <c r="F46" s="734"/>
      <c r="G46" s="734"/>
      <c r="H46" s="734"/>
      <c r="I46" s="44">
        <f t="shared" si="7"/>
        <v>0</v>
      </c>
      <c r="J46" s="330" t="str">
        <f t="shared" si="8"/>
        <v/>
      </c>
      <c r="K46" s="736"/>
      <c r="L46" s="100"/>
    </row>
    <row r="47" spans="1:12" ht="12.75" customHeight="1" x14ac:dyDescent="0.25">
      <c r="A47" s="414" t="s">
        <v>113</v>
      </c>
      <c r="B47" s="419"/>
      <c r="C47" s="642">
        <f t="shared" ref="C47:H47" si="9">SUM(C48:C52)</f>
        <v>1605684</v>
      </c>
      <c r="D47" s="670">
        <f t="shared" si="9"/>
        <v>5050000</v>
      </c>
      <c r="E47" s="638">
        <f t="shared" si="9"/>
        <v>5050000</v>
      </c>
      <c r="F47" s="638">
        <f t="shared" si="9"/>
        <v>1880267.3</v>
      </c>
      <c r="G47" s="638">
        <f t="shared" si="9"/>
        <v>2005940.4000000001</v>
      </c>
      <c r="H47" s="638">
        <f t="shared" si="9"/>
        <v>1860000</v>
      </c>
      <c r="I47" s="44">
        <f t="shared" si="7"/>
        <v>145940.40000000014</v>
      </c>
      <c r="J47" s="330">
        <f t="shared" si="8"/>
        <v>7.8462580645161359E-2</v>
      </c>
      <c r="K47" s="642">
        <f>SUM(K48:K52)</f>
        <v>5050000</v>
      </c>
      <c r="L47" s="100"/>
    </row>
    <row r="48" spans="1:12" ht="12.75" customHeight="1" x14ac:dyDescent="0.25">
      <c r="A48" s="416" t="s">
        <v>114</v>
      </c>
      <c r="B48" s="419"/>
      <c r="C48" s="736"/>
      <c r="D48" s="754"/>
      <c r="E48" s="734">
        <v>0</v>
      </c>
      <c r="F48" s="734"/>
      <c r="G48" s="734"/>
      <c r="H48" s="734"/>
      <c r="I48" s="44">
        <f t="shared" si="7"/>
        <v>0</v>
      </c>
      <c r="J48" s="330" t="str">
        <f t="shared" si="8"/>
        <v/>
      </c>
      <c r="K48" s="736"/>
      <c r="L48" s="100"/>
    </row>
    <row r="49" spans="1:12" ht="12.75" customHeight="1" x14ac:dyDescent="0.25">
      <c r="A49" s="416" t="s">
        <v>115</v>
      </c>
      <c r="B49" s="419"/>
      <c r="C49" s="736">
        <v>349001</v>
      </c>
      <c r="D49" s="754">
        <v>1800000</v>
      </c>
      <c r="E49" s="754">
        <v>1800000</v>
      </c>
      <c r="F49" s="734"/>
      <c r="G49" s="734"/>
      <c r="H49" s="734"/>
      <c r="I49" s="44">
        <f t="shared" si="7"/>
        <v>0</v>
      </c>
      <c r="J49" s="330" t="str">
        <f t="shared" si="8"/>
        <v/>
      </c>
      <c r="K49" s="736">
        <v>1800000</v>
      </c>
      <c r="L49" s="100"/>
    </row>
    <row r="50" spans="1:12" ht="12.75" customHeight="1" x14ac:dyDescent="0.25">
      <c r="A50" s="416" t="s">
        <v>116</v>
      </c>
      <c r="B50" s="419"/>
      <c r="C50" s="736"/>
      <c r="D50" s="754"/>
      <c r="E50" s="754"/>
      <c r="F50" s="734"/>
      <c r="G50" s="734"/>
      <c r="H50" s="734"/>
      <c r="I50" s="44">
        <f t="shared" si="7"/>
        <v>0</v>
      </c>
      <c r="J50" s="330" t="str">
        <f t="shared" si="8"/>
        <v/>
      </c>
      <c r="K50" s="736"/>
      <c r="L50" s="100"/>
    </row>
    <row r="51" spans="1:12" ht="12.75" customHeight="1" x14ac:dyDescent="0.25">
      <c r="A51" s="416" t="s">
        <v>722</v>
      </c>
      <c r="B51" s="419"/>
      <c r="C51" s="736">
        <v>1066513</v>
      </c>
      <c r="D51" s="754">
        <v>3250000</v>
      </c>
      <c r="E51" s="754">
        <v>3250000</v>
      </c>
      <c r="F51" s="734">
        <v>1880267.3</v>
      </c>
      <c r="G51" s="734">
        <v>2005940.4000000001</v>
      </c>
      <c r="H51" s="734">
        <v>1860000</v>
      </c>
      <c r="I51" s="44">
        <f t="shared" si="7"/>
        <v>145940.40000000014</v>
      </c>
      <c r="J51" s="330">
        <f t="shared" si="8"/>
        <v>7.8462580645161359E-2</v>
      </c>
      <c r="K51" s="736">
        <v>3250000</v>
      </c>
      <c r="L51" s="100"/>
    </row>
    <row r="52" spans="1:12" ht="12.75" customHeight="1" x14ac:dyDescent="0.25">
      <c r="A52" s="416" t="s">
        <v>619</v>
      </c>
      <c r="B52" s="419"/>
      <c r="C52" s="755">
        <v>190170</v>
      </c>
      <c r="D52" s="756"/>
      <c r="E52" s="757">
        <v>0</v>
      </c>
      <c r="F52" s="757"/>
      <c r="G52" s="757"/>
      <c r="H52" s="757"/>
      <c r="I52" s="44">
        <f t="shared" si="7"/>
        <v>0</v>
      </c>
      <c r="J52" s="330" t="str">
        <f t="shared" si="8"/>
        <v/>
      </c>
      <c r="K52" s="755"/>
      <c r="L52" s="100"/>
    </row>
    <row r="53" spans="1:12" ht="12.75" customHeight="1" x14ac:dyDescent="0.25">
      <c r="A53" s="414" t="s">
        <v>117</v>
      </c>
      <c r="B53" s="419"/>
      <c r="C53" s="642">
        <f t="shared" ref="C53:H53" si="10">SUM(C54:C56)</f>
        <v>54210592</v>
      </c>
      <c r="D53" s="670">
        <f t="shared" si="10"/>
        <v>100684850</v>
      </c>
      <c r="E53" s="638">
        <f t="shared" si="10"/>
        <v>100684850</v>
      </c>
      <c r="F53" s="638">
        <f t="shared" si="10"/>
        <v>8520424.6600000001</v>
      </c>
      <c r="G53" s="638">
        <f t="shared" si="10"/>
        <v>48205461.459999993</v>
      </c>
      <c r="H53" s="638">
        <f t="shared" si="10"/>
        <v>51320000</v>
      </c>
      <c r="I53" s="44">
        <f t="shared" si="7"/>
        <v>-3114538.5400000066</v>
      </c>
      <c r="J53" s="330">
        <f t="shared" si="8"/>
        <v>-6.0688591971940889E-2</v>
      </c>
      <c r="K53" s="642">
        <f>SUM(K54:K56)</f>
        <v>100684850</v>
      </c>
      <c r="L53" s="100"/>
    </row>
    <row r="54" spans="1:12" ht="12.75" customHeight="1" x14ac:dyDescent="0.25">
      <c r="A54" s="416" t="s">
        <v>118</v>
      </c>
      <c r="B54" s="419"/>
      <c r="C54" s="736">
        <v>13891</v>
      </c>
      <c r="D54" s="754">
        <v>1235000</v>
      </c>
      <c r="E54" s="754">
        <v>1235000</v>
      </c>
      <c r="F54" s="734"/>
      <c r="G54" s="734"/>
      <c r="H54" s="734"/>
      <c r="I54" s="44">
        <f t="shared" si="7"/>
        <v>0</v>
      </c>
      <c r="J54" s="330" t="str">
        <f t="shared" si="8"/>
        <v/>
      </c>
      <c r="K54" s="736">
        <v>1235000</v>
      </c>
      <c r="L54" s="100"/>
    </row>
    <row r="55" spans="1:12" ht="12.75" customHeight="1" x14ac:dyDescent="0.25">
      <c r="A55" s="416" t="s">
        <v>119</v>
      </c>
      <c r="B55" s="419"/>
      <c r="C55" s="736">
        <v>54196701</v>
      </c>
      <c r="D55" s="754">
        <v>99449850</v>
      </c>
      <c r="E55" s="754">
        <v>99449850</v>
      </c>
      <c r="F55" s="734">
        <v>8520424.6600000001</v>
      </c>
      <c r="G55" s="734">
        <v>48205461.459999993</v>
      </c>
      <c r="H55" s="734">
        <v>51320000</v>
      </c>
      <c r="I55" s="44">
        <f t="shared" si="7"/>
        <v>-3114538.5400000066</v>
      </c>
      <c r="J55" s="330">
        <f t="shared" si="8"/>
        <v>-6.0688591971940889E-2</v>
      </c>
      <c r="K55" s="736">
        <v>99449850</v>
      </c>
      <c r="L55" s="100"/>
    </row>
    <row r="56" spans="1:12" ht="12.75" customHeight="1" x14ac:dyDescent="0.25">
      <c r="A56" s="416" t="s">
        <v>120</v>
      </c>
      <c r="B56" s="419"/>
      <c r="C56" s="736"/>
      <c r="D56" s="754"/>
      <c r="E56" s="734"/>
      <c r="F56" s="734"/>
      <c r="G56" s="734"/>
      <c r="H56" s="734"/>
      <c r="I56" s="44">
        <f t="shared" si="7"/>
        <v>0</v>
      </c>
      <c r="J56" s="330" t="str">
        <f t="shared" si="8"/>
        <v/>
      </c>
      <c r="K56" s="736"/>
      <c r="L56" s="100"/>
    </row>
    <row r="57" spans="1:12" ht="12.75" customHeight="1" x14ac:dyDescent="0.25">
      <c r="A57" s="414" t="s">
        <v>121</v>
      </c>
      <c r="B57" s="419"/>
      <c r="C57" s="642">
        <f t="shared" ref="C57:H57" si="11">SUM(C58:C61)</f>
        <v>36086137</v>
      </c>
      <c r="D57" s="670">
        <f t="shared" si="11"/>
        <v>35085000</v>
      </c>
      <c r="E57" s="638">
        <f t="shared" si="11"/>
        <v>35085000</v>
      </c>
      <c r="F57" s="638">
        <f t="shared" si="11"/>
        <v>14913975.459999999</v>
      </c>
      <c r="G57" s="638">
        <f t="shared" si="11"/>
        <v>24414098.59</v>
      </c>
      <c r="H57" s="638">
        <f t="shared" si="11"/>
        <v>26360000</v>
      </c>
      <c r="I57" s="44">
        <f t="shared" si="7"/>
        <v>-1945901.4100000001</v>
      </c>
      <c r="J57" s="330">
        <f t="shared" si="8"/>
        <v>-7.3820235584218519E-2</v>
      </c>
      <c r="K57" s="642">
        <f>SUM(K58:K61)</f>
        <v>35085000</v>
      </c>
      <c r="L57" s="100"/>
    </row>
    <row r="58" spans="1:12" ht="12.75" customHeight="1" x14ac:dyDescent="0.25">
      <c r="A58" s="416" t="s">
        <v>1200</v>
      </c>
      <c r="B58" s="419"/>
      <c r="C58" s="736">
        <v>36071006</v>
      </c>
      <c r="D58" s="754">
        <v>35000000</v>
      </c>
      <c r="E58" s="754">
        <v>35000000</v>
      </c>
      <c r="F58" s="734">
        <v>14913975.459999999</v>
      </c>
      <c r="G58" s="734">
        <v>24414098.59</v>
      </c>
      <c r="H58" s="734">
        <v>26360000</v>
      </c>
      <c r="I58" s="44">
        <f t="shared" si="7"/>
        <v>-1945901.4100000001</v>
      </c>
      <c r="J58" s="330">
        <f t="shared" si="8"/>
        <v>-7.3820235584218519E-2</v>
      </c>
      <c r="K58" s="736">
        <v>35000000</v>
      </c>
      <c r="L58" s="100"/>
    </row>
    <row r="59" spans="1:12" ht="12.75" customHeight="1" x14ac:dyDescent="0.25">
      <c r="A59" s="416" t="s">
        <v>1204</v>
      </c>
      <c r="B59" s="419"/>
      <c r="C59" s="736"/>
      <c r="D59" s="754"/>
      <c r="E59" s="754"/>
      <c r="F59" s="734"/>
      <c r="G59" s="734"/>
      <c r="H59" s="734"/>
      <c r="I59" s="44">
        <f t="shared" si="7"/>
        <v>0</v>
      </c>
      <c r="J59" s="330" t="str">
        <f t="shared" si="8"/>
        <v/>
      </c>
      <c r="K59" s="736"/>
      <c r="L59" s="100"/>
    </row>
    <row r="60" spans="1:12" ht="12.75" customHeight="1" x14ac:dyDescent="0.25">
      <c r="A60" s="416" t="s">
        <v>122</v>
      </c>
      <c r="B60" s="419"/>
      <c r="C60" s="755"/>
      <c r="D60" s="756"/>
      <c r="E60" s="756"/>
      <c r="F60" s="757"/>
      <c r="G60" s="757"/>
      <c r="H60" s="757"/>
      <c r="I60" s="44">
        <f t="shared" si="7"/>
        <v>0</v>
      </c>
      <c r="J60" s="330" t="str">
        <f t="shared" si="8"/>
        <v/>
      </c>
      <c r="K60" s="755"/>
      <c r="L60" s="100"/>
    </row>
    <row r="61" spans="1:12" ht="12.75" customHeight="1" x14ac:dyDescent="0.25">
      <c r="A61" s="416" t="s">
        <v>123</v>
      </c>
      <c r="B61" s="419"/>
      <c r="C61" s="736">
        <v>15131</v>
      </c>
      <c r="D61" s="754">
        <v>85000</v>
      </c>
      <c r="E61" s="754">
        <v>85000</v>
      </c>
      <c r="F61" s="734"/>
      <c r="G61" s="734"/>
      <c r="H61" s="734"/>
      <c r="I61" s="44">
        <f t="shared" si="7"/>
        <v>0</v>
      </c>
      <c r="J61" s="330" t="str">
        <f t="shared" si="8"/>
        <v/>
      </c>
      <c r="K61" s="736">
        <v>85000</v>
      </c>
      <c r="L61" s="100"/>
    </row>
    <row r="62" spans="1:12" ht="12.75" customHeight="1" x14ac:dyDescent="0.25">
      <c r="A62" s="414" t="s">
        <v>729</v>
      </c>
      <c r="B62" s="419"/>
      <c r="C62" s="736"/>
      <c r="D62" s="754"/>
      <c r="E62" s="734"/>
      <c r="F62" s="734"/>
      <c r="G62" s="734"/>
      <c r="H62" s="734"/>
      <c r="I62" s="44">
        <f t="shared" si="7"/>
        <v>0</v>
      </c>
      <c r="J62" s="330" t="str">
        <f t="shared" si="8"/>
        <v/>
      </c>
      <c r="K62" s="736"/>
      <c r="L62" s="100"/>
    </row>
    <row r="63" spans="1:12" ht="12.75" customHeight="1" x14ac:dyDescent="0.25">
      <c r="A63" s="537" t="s">
        <v>1222</v>
      </c>
      <c r="B63" s="540">
        <v>3</v>
      </c>
      <c r="C63" s="541">
        <f>C43+C47+C53+C57+C62</f>
        <v>103447828</v>
      </c>
      <c r="D63" s="542">
        <f t="shared" ref="D63:I63" si="12">D43+D47+D53+D57+D62</f>
        <v>142719850</v>
      </c>
      <c r="E63" s="478">
        <f t="shared" si="12"/>
        <v>142719850</v>
      </c>
      <c r="F63" s="478">
        <f t="shared" si="12"/>
        <v>25314667.420000002</v>
      </c>
      <c r="G63" s="478">
        <f t="shared" si="12"/>
        <v>74625500.449999988</v>
      </c>
      <c r="H63" s="478">
        <f t="shared" si="12"/>
        <v>79540000</v>
      </c>
      <c r="I63" s="478">
        <f t="shared" si="12"/>
        <v>-4914499.5500000063</v>
      </c>
      <c r="J63" s="543">
        <f t="shared" si="8"/>
        <v>-6.1786516846869581E-2</v>
      </c>
      <c r="K63" s="544">
        <f>K43+K47+K53+K57+K62</f>
        <v>142719850</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48092431.5</v>
      </c>
      <c r="D66" s="754">
        <v>89549850</v>
      </c>
      <c r="E66" s="734">
        <v>89549850</v>
      </c>
      <c r="F66" s="734">
        <v>8520424.6600000001</v>
      </c>
      <c r="G66" s="734">
        <v>48056384.069999993</v>
      </c>
      <c r="H66" s="734">
        <v>50285000</v>
      </c>
      <c r="I66" s="44">
        <f t="shared" ref="I66:I74" si="13">G66-H66</f>
        <v>-2228615.9300000072</v>
      </c>
      <c r="J66" s="330">
        <f t="shared" ref="J66:J74" si="14">IF(I66=0,"",I66/H66)</f>
        <v>-4.4319696330913934E-2</v>
      </c>
      <c r="K66" s="736">
        <v>89549850</v>
      </c>
      <c r="L66" s="100"/>
    </row>
    <row r="67" spans="1:12" ht="12.75" customHeight="1" x14ac:dyDescent="0.25">
      <c r="A67" s="107" t="s">
        <v>612</v>
      </c>
      <c r="B67" s="169"/>
      <c r="C67" s="749">
        <v>190170</v>
      </c>
      <c r="D67" s="754"/>
      <c r="E67" s="734"/>
      <c r="F67" s="734"/>
      <c r="G67" s="734"/>
      <c r="H67" s="734"/>
      <c r="I67" s="44">
        <f t="shared" si="13"/>
        <v>0</v>
      </c>
      <c r="J67" s="330" t="str">
        <f t="shared" si="14"/>
        <v/>
      </c>
      <c r="K67" s="736"/>
      <c r="L67" s="100"/>
    </row>
    <row r="68" spans="1:12" ht="12.75" customHeight="1" x14ac:dyDescent="0.25">
      <c r="A68" s="107" t="s">
        <v>613</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v>110987</v>
      </c>
      <c r="D69" s="758"/>
      <c r="E69" s="752"/>
      <c r="F69" s="752"/>
      <c r="G69" s="752"/>
      <c r="H69" s="752"/>
      <c r="I69" s="99">
        <f t="shared" si="13"/>
        <v>0</v>
      </c>
      <c r="J69" s="335" t="str">
        <f t="shared" si="14"/>
        <v/>
      </c>
      <c r="K69" s="753"/>
      <c r="L69" s="100"/>
    </row>
    <row r="70" spans="1:12" ht="12.75" customHeight="1" x14ac:dyDescent="0.25">
      <c r="A70" s="693" t="s">
        <v>974</v>
      </c>
      <c r="B70" s="169"/>
      <c r="C70" s="109">
        <f t="shared" ref="C70:H70" si="15">SUM(C66:C69)</f>
        <v>48393588.5</v>
      </c>
      <c r="D70" s="259">
        <f t="shared" si="15"/>
        <v>89549850</v>
      </c>
      <c r="E70" s="50">
        <f t="shared" si="15"/>
        <v>89549850</v>
      </c>
      <c r="F70" s="50">
        <f t="shared" si="15"/>
        <v>8520424.6600000001</v>
      </c>
      <c r="G70" s="50">
        <f t="shared" si="15"/>
        <v>48056384.069999993</v>
      </c>
      <c r="H70" s="50">
        <f t="shared" si="15"/>
        <v>50285000</v>
      </c>
      <c r="I70" s="50">
        <f t="shared" si="13"/>
        <v>-2228615.9300000072</v>
      </c>
      <c r="J70" s="146">
        <f t="shared" si="14"/>
        <v>-4.4319696330913934E-2</v>
      </c>
      <c r="K70" s="50">
        <f>SUM(K66:K69)</f>
        <v>89549850</v>
      </c>
      <c r="L70" s="699"/>
    </row>
    <row r="71" spans="1:12" ht="0.95" customHeight="1" x14ac:dyDescent="0.25">
      <c r="A71" s="106"/>
      <c r="B71" s="169"/>
      <c r="C71" s="649"/>
      <c r="D71" s="671"/>
      <c r="E71" s="408"/>
      <c r="F71" s="408"/>
      <c r="G71" s="408"/>
      <c r="H71" s="408"/>
      <c r="I71" s="408"/>
      <c r="J71" s="949"/>
      <c r="K71" s="643"/>
      <c r="L71" s="100"/>
    </row>
    <row r="72" spans="1:12" ht="12.75" customHeight="1" x14ac:dyDescent="0.25">
      <c r="A72" s="106" t="s">
        <v>790</v>
      </c>
      <c r="B72" s="169">
        <v>6</v>
      </c>
      <c r="C72" s="749">
        <v>20907460</v>
      </c>
      <c r="D72" s="754">
        <v>20000000</v>
      </c>
      <c r="E72" s="754">
        <v>20000000</v>
      </c>
      <c r="F72" s="734">
        <v>14329338.289999999</v>
      </c>
      <c r="G72" s="734">
        <v>20226821.41</v>
      </c>
      <c r="H72" s="734">
        <v>21568000</v>
      </c>
      <c r="I72" s="44">
        <f t="shared" si="13"/>
        <v>-1341178.5899999999</v>
      </c>
      <c r="J72" s="330">
        <f t="shared" si="14"/>
        <v>-6.2183725426557854E-2</v>
      </c>
      <c r="K72" s="736">
        <v>20000000</v>
      </c>
      <c r="L72" s="100"/>
    </row>
    <row r="73" spans="1:12" ht="12.75" customHeight="1" x14ac:dyDescent="0.25">
      <c r="A73" s="106" t="s">
        <v>479</v>
      </c>
      <c r="B73" s="248"/>
      <c r="C73" s="750">
        <v>34146780</v>
      </c>
      <c r="D73" s="758">
        <v>33170000</v>
      </c>
      <c r="E73" s="758">
        <v>33170000</v>
      </c>
      <c r="F73" s="752">
        <v>2464904.4700000002</v>
      </c>
      <c r="G73" s="752">
        <v>6342295</v>
      </c>
      <c r="H73" s="752">
        <v>7687000</v>
      </c>
      <c r="I73" s="99">
        <f t="shared" si="13"/>
        <v>-1344705</v>
      </c>
      <c r="J73" s="335">
        <f t="shared" si="14"/>
        <v>-0.17493235332379342</v>
      </c>
      <c r="K73" s="753">
        <v>33170000</v>
      </c>
      <c r="L73" s="100"/>
    </row>
    <row r="74" spans="1:12" ht="12.75" customHeight="1" x14ac:dyDescent="0.25">
      <c r="A74" s="539" t="s">
        <v>906</v>
      </c>
      <c r="B74" s="119"/>
      <c r="C74" s="244">
        <f t="shared" ref="C74:H74" si="16">+C70+C72+C73</f>
        <v>103447828.5</v>
      </c>
      <c r="D74" s="265">
        <f t="shared" si="16"/>
        <v>142719850</v>
      </c>
      <c r="E74" s="76">
        <f t="shared" si="16"/>
        <v>142719850</v>
      </c>
      <c r="F74" s="76">
        <f t="shared" si="16"/>
        <v>25314667.419999998</v>
      </c>
      <c r="G74" s="76">
        <f t="shared" si="16"/>
        <v>74625500.479999989</v>
      </c>
      <c r="H74" s="76">
        <f t="shared" si="16"/>
        <v>79540000</v>
      </c>
      <c r="I74" s="76">
        <f t="shared" si="13"/>
        <v>-4914499.5200000107</v>
      </c>
      <c r="J74" s="333">
        <f t="shared" si="14"/>
        <v>-6.1786516469700917E-2</v>
      </c>
      <c r="K74" s="234">
        <f>+K70+K72+K73</f>
        <v>142719850</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6" t="s">
        <v>149</v>
      </c>
      <c r="B77" s="1036"/>
      <c r="C77" s="1036"/>
      <c r="D77" s="1036"/>
      <c r="E77" s="1036"/>
      <c r="F77" s="1036"/>
      <c r="G77" s="1036"/>
      <c r="H77" s="1036"/>
      <c r="I77" s="1036"/>
      <c r="J77" s="1036"/>
      <c r="K77" s="1036"/>
    </row>
    <row r="78" spans="1:12" ht="12" customHeight="1" x14ac:dyDescent="0.25">
      <c r="A78" s="1036" t="s">
        <v>1224</v>
      </c>
      <c r="B78" s="1036"/>
      <c r="C78" s="1036"/>
      <c r="D78" s="1036"/>
      <c r="E78" s="1036"/>
      <c r="F78" s="1036"/>
      <c r="G78" s="1036"/>
      <c r="H78" s="1036"/>
      <c r="I78" s="1036"/>
      <c r="J78" s="1036"/>
      <c r="K78" s="1036"/>
    </row>
    <row r="79" spans="1:12" ht="12" customHeight="1" x14ac:dyDescent="0.25">
      <c r="A79" s="1037" t="s">
        <v>531</v>
      </c>
      <c r="B79" s="1036"/>
      <c r="C79" s="1036"/>
      <c r="D79" s="1036"/>
      <c r="E79" s="1036"/>
      <c r="F79" s="1036"/>
      <c r="G79" s="1036"/>
      <c r="H79" s="1036"/>
      <c r="I79" s="1036"/>
      <c r="J79" s="1036"/>
      <c r="K79" s="1036"/>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731</v>
      </c>
      <c r="B86" s="64"/>
      <c r="C86" s="694">
        <f>C40-C74</f>
        <v>1.000000536441803E-2</v>
      </c>
      <c r="D86" s="694">
        <f t="shared" ref="D86:K86" si="17">D40-D74</f>
        <v>0</v>
      </c>
      <c r="E86" s="694">
        <f t="shared" si="17"/>
        <v>0</v>
      </c>
      <c r="F86" s="694">
        <f t="shared" si="17"/>
        <v>0</v>
      </c>
      <c r="G86" s="694">
        <f t="shared" si="17"/>
        <v>-3.0000001192092896E-2</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5"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277" activePane="bottomRight" state="frozen"/>
      <selection pane="topRight"/>
      <selection pane="bottomLeft"/>
      <selection pane="bottomRight" activeCell="H244" sqref="H244"/>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6" t="str">
        <f>muni&amp; " - "&amp;S71D&amp; " - "&amp;"A"&amp; " - "&amp;date</f>
        <v>LIM333 Greater Tzaneen - Table C5 Consolidated Monthly Budget Statement - Capital Expenditure (municipal vote, functional classification and funding  - A - M06 December</v>
      </c>
      <c r="B1" s="1026"/>
      <c r="C1" s="1026"/>
      <c r="D1" s="1026"/>
      <c r="E1" s="1026"/>
      <c r="F1" s="1026"/>
      <c r="G1" s="1026"/>
      <c r="H1" s="1026"/>
      <c r="I1" s="1026"/>
      <c r="J1" s="1026"/>
      <c r="K1" s="1026"/>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35" t="s">
        <v>808</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811</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Municipal Manager</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Administration Municipal Manager</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Internal Audit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structure'!E5</f>
        <v>1.4 - Strategic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1.5 - Risk Management</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customHeight="1" x14ac:dyDescent="0.25">
      <c r="A12" s="407" t="str">
        <f>'Org structure'!E7</f>
        <v>1.6 - Legal Services</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structure'!E8</f>
        <v>1.3 - Disaster Management</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customHeight="1" x14ac:dyDescent="0.25">
      <c r="A14" s="407" t="str">
        <f>'Org structure'!E9</f>
        <v>1.7 - Council Expenditure</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Planning &amp; Economic Development</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structure'!E14</f>
        <v>2.1 - Administration Strategy &amp; Development</v>
      </c>
      <c r="B19" s="445"/>
      <c r="C19" s="740"/>
      <c r="D19" s="741"/>
      <c r="E19" s="742"/>
      <c r="F19" s="743"/>
      <c r="G19" s="742"/>
      <c r="H19" s="743"/>
      <c r="I19" s="44">
        <f t="shared" si="1"/>
        <v>0</v>
      </c>
      <c r="J19" s="330" t="str">
        <f t="shared" si="2"/>
        <v/>
      </c>
      <c r="K19" s="744"/>
      <c r="L19" s="424"/>
      <c r="M19" s="38"/>
      <c r="N19" s="38"/>
      <c r="O19" s="38"/>
      <c r="P19" s="38"/>
      <c r="Q19" s="38"/>
      <c r="R19" s="38"/>
      <c r="S19" s="38"/>
      <c r="T19" s="38"/>
      <c r="U19" s="38"/>
      <c r="V19" s="38"/>
      <c r="W19" s="38"/>
    </row>
    <row r="20" spans="1:23" ht="11.25" customHeight="1" x14ac:dyDescent="0.25">
      <c r="A20" s="407" t="str">
        <f>'Org structure'!E15</f>
        <v>2.2 - Local Economic Development</v>
      </c>
      <c r="B20" s="445"/>
      <c r="C20" s="740"/>
      <c r="D20" s="741"/>
      <c r="E20" s="742"/>
      <c r="F20" s="743"/>
      <c r="G20" s="742"/>
      <c r="H20" s="743"/>
      <c r="I20" s="44">
        <f t="shared" si="1"/>
        <v>0</v>
      </c>
      <c r="J20" s="330" t="str">
        <f t="shared" si="2"/>
        <v/>
      </c>
      <c r="K20" s="744"/>
      <c r="L20" s="424"/>
      <c r="M20" s="38"/>
      <c r="N20" s="38"/>
      <c r="O20" s="38"/>
      <c r="P20" s="38"/>
      <c r="Q20" s="38"/>
      <c r="R20" s="38"/>
      <c r="S20" s="38"/>
      <c r="T20" s="38"/>
      <c r="U20" s="38"/>
      <c r="V20" s="38"/>
      <c r="W20" s="38"/>
    </row>
    <row r="21" spans="1:23" ht="11.25" customHeight="1" x14ac:dyDescent="0.25">
      <c r="A21" s="407" t="str">
        <f>'Org structure'!E16</f>
        <v>2.3 - Town &amp; Regional Planning</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Housing Administration</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SATELITE OFFICE: NKOWANKOWA</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structure'!E19</f>
        <v>2.6 - SATELITE OFFICE: LENYENYE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t="str">
        <f>'Org structure'!E20</f>
        <v>2.7 - SATELITE OFFICE: LETSITELE</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Financial Services</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structure'!E25</f>
        <v>3.1 - Administration Finance</v>
      </c>
      <c r="B30" s="445"/>
      <c r="C30" s="740"/>
      <c r="D30" s="741"/>
      <c r="E30" s="742"/>
      <c r="F30" s="743"/>
      <c r="G30" s="742"/>
      <c r="H30" s="742"/>
      <c r="I30" s="258">
        <f t="shared" si="1"/>
        <v>0</v>
      </c>
      <c r="J30" s="330" t="str">
        <f t="shared" si="2"/>
        <v/>
      </c>
      <c r="K30" s="744"/>
      <c r="L30" s="424"/>
      <c r="M30" s="38"/>
      <c r="N30" s="38"/>
      <c r="O30" s="38"/>
      <c r="P30" s="38"/>
      <c r="Q30" s="38"/>
      <c r="R30" s="38"/>
      <c r="S30" s="38"/>
      <c r="T30" s="38"/>
      <c r="U30" s="38"/>
      <c r="V30" s="38"/>
      <c r="W30" s="38"/>
    </row>
    <row r="31" spans="1:23" ht="11.25" customHeight="1" x14ac:dyDescent="0.25">
      <c r="A31" s="407" t="str">
        <f>'Org structure'!E26</f>
        <v>3.2 - Budget office</v>
      </c>
      <c r="B31" s="445"/>
      <c r="C31" s="740"/>
      <c r="D31" s="741"/>
      <c r="E31" s="742"/>
      <c r="F31" s="743"/>
      <c r="G31" s="742"/>
      <c r="H31" s="743"/>
      <c r="I31" s="44">
        <f t="shared" si="1"/>
        <v>0</v>
      </c>
      <c r="J31" s="330" t="str">
        <f t="shared" si="2"/>
        <v/>
      </c>
      <c r="K31" s="744"/>
      <c r="L31" s="424"/>
      <c r="M31" s="38"/>
      <c r="N31" s="38"/>
      <c r="O31" s="38"/>
      <c r="P31" s="38"/>
      <c r="Q31" s="38"/>
      <c r="R31" s="38"/>
      <c r="S31" s="38"/>
      <c r="T31" s="38"/>
      <c r="U31" s="38"/>
      <c r="V31" s="38"/>
      <c r="W31" s="38"/>
    </row>
    <row r="32" spans="1:23" ht="11.25" customHeight="1" x14ac:dyDescent="0.25">
      <c r="A32" s="407" t="str">
        <f>'Org structure'!E27</f>
        <v>3.3 - Revenue</v>
      </c>
      <c r="B32" s="445"/>
      <c r="C32" s="740"/>
      <c r="D32" s="741"/>
      <c r="E32" s="742"/>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structure'!E28</f>
        <v>3.4 - Expenditure</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customHeight="1" x14ac:dyDescent="0.25">
      <c r="A34" s="407" t="str">
        <f>'Org structure'!E29</f>
        <v>3.5 - Inventory</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t="str">
        <f>'Org structure'!E30</f>
        <v>3.6 - Supply Chain Management</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structure'!E36</f>
        <v>4.1 - Communications</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Public Participation &amp; Project Support</v>
      </c>
      <c r="B42" s="445"/>
      <c r="C42" s="740"/>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Information Technology</v>
      </c>
      <c r="B43" s="445"/>
      <c r="C43" s="740"/>
      <c r="D43" s="741"/>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Administration HR &amp; Corporate</v>
      </c>
      <c r="B44" s="445"/>
      <c r="C44" s="740"/>
      <c r="D44" s="741"/>
      <c r="E44" s="742"/>
      <c r="F44" s="743"/>
      <c r="G44" s="742"/>
      <c r="H44" s="743"/>
      <c r="I44" s="44">
        <f t="shared" si="1"/>
        <v>0</v>
      </c>
      <c r="J44" s="330" t="str">
        <f t="shared" si="2"/>
        <v/>
      </c>
      <c r="K44" s="744"/>
      <c r="L44" s="424"/>
      <c r="M44" s="38"/>
      <c r="N44" s="38"/>
      <c r="O44" s="38"/>
      <c r="P44" s="38"/>
      <c r="Q44" s="38"/>
      <c r="R44" s="38"/>
      <c r="S44" s="38"/>
      <c r="T44" s="38"/>
      <c r="U44" s="38"/>
      <c r="V44" s="38"/>
      <c r="W44" s="38"/>
    </row>
    <row r="45" spans="1:23" ht="11.25" customHeight="1" x14ac:dyDescent="0.25">
      <c r="A45" s="407" t="str">
        <f>'Org structure'!E40</f>
        <v>4.5 - Human Resources</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structure'!E41</f>
        <v>4.6 - Occupational Health &amp; safety</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customHeight="1" x14ac:dyDescent="0.25">
      <c r="A47" s="407" t="str">
        <f>'Org structure'!E42</f>
        <v>4.8 - Corporate Services</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Community Services</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structure'!E47</f>
        <v>5.1 - Parks &amp; Recreation</v>
      </c>
      <c r="B52" s="445"/>
      <c r="C52" s="740"/>
      <c r="D52" s="741"/>
      <c r="E52" s="742"/>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structure'!E48</f>
        <v>5.2 - Administration Community Services</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Community Health Services</v>
      </c>
      <c r="B54" s="445"/>
      <c r="C54" s="740"/>
      <c r="D54" s="741"/>
      <c r="E54" s="742"/>
      <c r="F54" s="743"/>
      <c r="G54" s="742"/>
      <c r="H54" s="743"/>
      <c r="I54" s="44">
        <f t="shared" si="1"/>
        <v>0</v>
      </c>
      <c r="J54" s="330" t="str">
        <f t="shared" si="2"/>
        <v/>
      </c>
      <c r="K54" s="744"/>
      <c r="L54" s="424"/>
      <c r="M54" s="38"/>
      <c r="N54" s="38"/>
      <c r="O54" s="38"/>
      <c r="P54" s="38"/>
      <c r="Q54" s="38"/>
      <c r="R54" s="38"/>
      <c r="S54" s="38"/>
      <c r="T54" s="38"/>
      <c r="U54" s="38"/>
      <c r="V54" s="38"/>
      <c r="W54" s="38"/>
    </row>
    <row r="55" spans="1:23" ht="11.25" customHeight="1" x14ac:dyDescent="0.25">
      <c r="A55" s="407" t="str">
        <f>'Org structure'!E50</f>
        <v>5.4 - Enviromental Health Services</v>
      </c>
      <c r="B55" s="445"/>
      <c r="C55" s="740"/>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customHeight="1" x14ac:dyDescent="0.25">
      <c r="A56" s="407" t="str">
        <f>'Org structure'!E51</f>
        <v>5.5 - Library Services</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customHeight="1" x14ac:dyDescent="0.25">
      <c r="A57" s="407" t="str">
        <f>'Org structure'!E52</f>
        <v>5.6 - Solid Waste</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structure'!E53</f>
        <v>5.7 - Street Cleansing</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t="str">
        <f>'Org structure'!E54</f>
        <v>5.8 - Public Toilets</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Community Services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structure'!E58</f>
        <v>6.2 - Administration Transport,safety,Security</v>
      </c>
      <c r="B63" s="445"/>
      <c r="C63" s="740"/>
      <c r="D63" s="741"/>
      <c r="E63" s="742"/>
      <c r="F63" s="743"/>
      <c r="G63" s="742"/>
      <c r="H63" s="743"/>
      <c r="I63" s="44">
        <f t="shared" si="1"/>
        <v>0</v>
      </c>
      <c r="J63" s="330" t="str">
        <f t="shared" si="2"/>
        <v/>
      </c>
      <c r="K63" s="744"/>
      <c r="L63" s="424"/>
      <c r="M63" s="38"/>
      <c r="N63" s="38"/>
      <c r="O63" s="38"/>
      <c r="P63" s="38"/>
      <c r="Q63" s="38"/>
      <c r="R63" s="38"/>
      <c r="S63" s="38"/>
      <c r="T63" s="38"/>
      <c r="U63" s="38"/>
      <c r="V63" s="38"/>
      <c r="W63" s="38"/>
    </row>
    <row r="64" spans="1:23" ht="11.25" customHeight="1" x14ac:dyDescent="0.25">
      <c r="A64" s="407" t="str">
        <f>'Org structure'!E59</f>
        <v>6.3 - Vehicle licencing</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6.1 - Traffic services</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structure'!E61</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structure'!E62</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customHeight="1" x14ac:dyDescent="0.25">
      <c r="A73" s="466" t="str">
        <f>'Org structure'!A8</f>
        <v>Vote 7 - Electrical Engineering Services</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structure'!E69</f>
        <v>7.1 - Administration Electrical Engineering</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customHeight="1" x14ac:dyDescent="0.25">
      <c r="A75" s="407" t="str">
        <f>'Org structure'!E70</f>
        <v>7.2 - Operations &amp; Maintenance: Rural</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customHeight="1" x14ac:dyDescent="0.25">
      <c r="A76" s="407" t="str">
        <f>'Org structure'!E71</f>
        <v>7.3 - Operations &amp; Maintenance: Town</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customHeight="1" x14ac:dyDescent="0.25">
      <c r="A84" s="466" t="str">
        <f>'Org structure'!A9</f>
        <v>Vote 8 - Engineering Services</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structure'!E80</f>
        <v>8.1 - Fleet Management</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customHeight="1" x14ac:dyDescent="0.25">
      <c r="A86" s="407" t="str">
        <f>'Org structure'!E81</f>
        <v>8.2 - Administration Civil Engineering</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structure'!E82</f>
        <v>8.3 - Roads &amp; stormwater Management</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structure'!E83</f>
        <v>8.4 - Water Networks</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structure'!E84</f>
        <v>8.5 - Water Purification</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customHeight="1" x14ac:dyDescent="0.25">
      <c r="A90" s="407" t="str">
        <f>'Org structure'!E85</f>
        <v>8.6 - Building &amp; Housing</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customHeight="1" x14ac:dyDescent="0.25">
      <c r="A91" s="407" t="str">
        <f>'Org structure'!E86</f>
        <v>8.7 - Project Management</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customHeight="1" x14ac:dyDescent="0.25">
      <c r="A95" s="466" t="str">
        <f>'Org structure'!A10</f>
        <v>Vote 9 - GTEDA</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customHeight="1" x14ac:dyDescent="0.25">
      <c r="A96" s="407" t="str">
        <f>'Org structure'!E91</f>
        <v>9.1 - Gteda</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809</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808</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812</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Municipal Manager</v>
      </c>
      <c r="B176" s="467"/>
      <c r="C176" s="507">
        <f t="shared" ref="C176:K176" si="23">SUM(C177:C186)</f>
        <v>6059</v>
      </c>
      <c r="D176" s="471">
        <f t="shared" si="23"/>
        <v>1900000</v>
      </c>
      <c r="E176" s="468">
        <f t="shared" si="23"/>
        <v>1900000</v>
      </c>
      <c r="F176" s="470">
        <f t="shared" si="23"/>
        <v>0</v>
      </c>
      <c r="G176" s="468">
        <f t="shared" si="23"/>
        <v>0</v>
      </c>
      <c r="H176" s="470">
        <f t="shared" si="23"/>
        <v>0</v>
      </c>
      <c r="I176" s="44">
        <f t="shared" si="16"/>
        <v>0</v>
      </c>
      <c r="J176" s="330" t="str">
        <f t="shared" si="17"/>
        <v/>
      </c>
      <c r="K176" s="469">
        <f t="shared" si="23"/>
        <v>1900000</v>
      </c>
      <c r="L176" s="446"/>
      <c r="M176" s="40"/>
      <c r="N176" s="40"/>
      <c r="O176" s="40"/>
      <c r="P176" s="40"/>
      <c r="Q176" s="40"/>
      <c r="R176" s="40"/>
      <c r="S176" s="40"/>
      <c r="T176" s="40"/>
      <c r="U176" s="40"/>
      <c r="V176" s="40"/>
      <c r="W176" s="40"/>
    </row>
    <row r="177" spans="1:23" ht="11.25" customHeight="1" x14ac:dyDescent="0.25">
      <c r="A177" s="407" t="str">
        <f>'Org structure'!E3</f>
        <v>1.1 - Administration Municipal Manager</v>
      </c>
      <c r="B177" s="445"/>
      <c r="C177" s="745">
        <v>6059</v>
      </c>
      <c r="D177" s="746"/>
      <c r="E177" s="734"/>
      <c r="F177" s="747"/>
      <c r="G177" s="734"/>
      <c r="H177" s="747"/>
      <c r="I177" s="44">
        <f t="shared" si="16"/>
        <v>0</v>
      </c>
      <c r="J177" s="330" t="str">
        <f t="shared" si="17"/>
        <v/>
      </c>
      <c r="K177" s="748"/>
      <c r="L177" s="446"/>
      <c r="M177" s="40"/>
      <c r="N177" s="40"/>
      <c r="O177" s="40"/>
      <c r="P177" s="40"/>
      <c r="Q177" s="40"/>
      <c r="R177" s="40"/>
      <c r="S177" s="40"/>
      <c r="T177" s="40"/>
      <c r="U177" s="40"/>
      <c r="V177" s="40"/>
      <c r="W177" s="40"/>
    </row>
    <row r="178" spans="1:23" ht="11.25" customHeight="1" x14ac:dyDescent="0.25">
      <c r="A178" s="407" t="str">
        <f>'Org structure'!E4</f>
        <v>1.2 - Internal Audit</v>
      </c>
      <c r="B178" s="445"/>
      <c r="C178" s="745"/>
      <c r="D178" s="746"/>
      <c r="E178" s="734"/>
      <c r="F178" s="747"/>
      <c r="G178" s="734"/>
      <c r="H178" s="747"/>
      <c r="I178" s="44">
        <f t="shared" si="16"/>
        <v>0</v>
      </c>
      <c r="J178" s="330" t="str">
        <f t="shared" si="17"/>
        <v/>
      </c>
      <c r="K178" s="748"/>
      <c r="L178" s="446"/>
      <c r="M178" s="40"/>
      <c r="N178" s="40"/>
      <c r="O178" s="40"/>
      <c r="P178" s="40"/>
      <c r="Q178" s="40"/>
      <c r="R178" s="40"/>
      <c r="S178" s="40"/>
      <c r="T178" s="40"/>
      <c r="U178" s="40"/>
      <c r="V178" s="40"/>
      <c r="W178" s="40"/>
    </row>
    <row r="179" spans="1:23" ht="11.25" customHeight="1" x14ac:dyDescent="0.25">
      <c r="A179" s="407" t="str">
        <f>'Org structure'!E5</f>
        <v>1.4 - Strategic Support</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customHeight="1" x14ac:dyDescent="0.25">
      <c r="A180" s="407" t="str">
        <f>'Org structure'!E6</f>
        <v>1.5 - Risk Management</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customHeight="1" x14ac:dyDescent="0.25">
      <c r="A181" s="407" t="str">
        <f>'Org structure'!E7</f>
        <v>1.6 - Legal Services</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customHeight="1" x14ac:dyDescent="0.25">
      <c r="A182" s="407" t="str">
        <f>'Org structure'!E8</f>
        <v>1.3 - Disaster Management</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t="str">
        <f>'Org structure'!E9</f>
        <v>1.7 - Council Expenditure</v>
      </c>
      <c r="B183" s="445"/>
      <c r="C183" s="745"/>
      <c r="D183" s="746">
        <v>1900000</v>
      </c>
      <c r="E183" s="746">
        <v>1900000</v>
      </c>
      <c r="F183" s="747"/>
      <c r="G183" s="734"/>
      <c r="H183" s="747"/>
      <c r="I183" s="44">
        <f t="shared" si="16"/>
        <v>0</v>
      </c>
      <c r="J183" s="330" t="str">
        <f t="shared" si="17"/>
        <v/>
      </c>
      <c r="K183" s="748">
        <v>1900000</v>
      </c>
      <c r="L183" s="446"/>
      <c r="M183" s="40"/>
      <c r="N183" s="40"/>
      <c r="O183" s="40"/>
      <c r="P183" s="40"/>
      <c r="Q183" s="40"/>
      <c r="R183" s="40"/>
      <c r="S183" s="40"/>
      <c r="T183" s="40"/>
      <c r="U183" s="40"/>
      <c r="V183" s="40"/>
      <c r="W183" s="40"/>
    </row>
    <row r="184" spans="1:23" ht="11.25"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Planning &amp; Economic Development</v>
      </c>
      <c r="B187" s="440"/>
      <c r="C187" s="503">
        <f>SUM(C188:C197)</f>
        <v>13891</v>
      </c>
      <c r="D187" s="444">
        <f>SUM(D188:D197)</f>
        <v>1235000</v>
      </c>
      <c r="E187" s="441">
        <f t="shared" ref="E187:K187" si="24">SUM(E188:E197)</f>
        <v>1235000</v>
      </c>
      <c r="F187" s="443">
        <f t="shared" si="24"/>
        <v>0</v>
      </c>
      <c r="G187" s="441">
        <f t="shared" si="24"/>
        <v>0</v>
      </c>
      <c r="H187" s="443">
        <f t="shared" si="24"/>
        <v>0</v>
      </c>
      <c r="I187" s="44">
        <f t="shared" si="16"/>
        <v>0</v>
      </c>
      <c r="J187" s="330" t="str">
        <f t="shared" si="17"/>
        <v/>
      </c>
      <c r="K187" s="442">
        <f t="shared" si="24"/>
        <v>1235000</v>
      </c>
      <c r="L187" s="48"/>
      <c r="M187" s="473"/>
      <c r="N187" s="473"/>
      <c r="O187" s="473"/>
      <c r="P187" s="473"/>
      <c r="Q187" s="473"/>
      <c r="R187" s="473"/>
      <c r="S187" s="473"/>
      <c r="T187" s="473"/>
      <c r="U187" s="473"/>
      <c r="V187" s="473"/>
      <c r="W187" s="473"/>
    </row>
    <row r="188" spans="1:23" ht="11.25" customHeight="1" x14ac:dyDescent="0.25">
      <c r="A188" s="407" t="str">
        <f>'Org structure'!E14</f>
        <v>2.1 - Administration Strategy &amp; Development</v>
      </c>
      <c r="B188" s="445"/>
      <c r="C188" s="745">
        <v>13891</v>
      </c>
      <c r="D188" s="746">
        <v>1235000</v>
      </c>
      <c r="E188" s="746">
        <v>1235000</v>
      </c>
      <c r="F188" s="747"/>
      <c r="G188" s="734"/>
      <c r="H188" s="747"/>
      <c r="I188" s="44">
        <f t="shared" si="16"/>
        <v>0</v>
      </c>
      <c r="J188" s="330" t="str">
        <f t="shared" si="17"/>
        <v/>
      </c>
      <c r="K188" s="748">
        <v>1235000</v>
      </c>
      <c r="L188" s="48"/>
      <c r="M188" s="473"/>
      <c r="N188" s="473"/>
      <c r="O188" s="473"/>
      <c r="P188" s="473"/>
      <c r="Q188" s="473"/>
      <c r="R188" s="473"/>
      <c r="S188" s="473"/>
      <c r="T188" s="473"/>
      <c r="U188" s="473"/>
      <c r="V188" s="473"/>
      <c r="W188" s="473"/>
    </row>
    <row r="189" spans="1:23" ht="11.25" customHeight="1" x14ac:dyDescent="0.25">
      <c r="A189" s="407" t="str">
        <f>'Org structure'!E15</f>
        <v>2.2 - Local Economic Development</v>
      </c>
      <c r="B189" s="445"/>
      <c r="C189" s="745"/>
      <c r="D189" s="746"/>
      <c r="E189" s="734"/>
      <c r="F189" s="747"/>
      <c r="G189" s="734"/>
      <c r="H189" s="747"/>
      <c r="I189" s="44">
        <f t="shared" si="16"/>
        <v>0</v>
      </c>
      <c r="J189" s="330" t="str">
        <f t="shared" si="17"/>
        <v/>
      </c>
      <c r="K189" s="748"/>
      <c r="L189" s="48"/>
      <c r="M189" s="473"/>
      <c r="N189" s="473"/>
      <c r="O189" s="473"/>
      <c r="P189" s="473"/>
      <c r="Q189" s="473"/>
      <c r="R189" s="473"/>
      <c r="S189" s="473"/>
      <c r="T189" s="473"/>
      <c r="U189" s="473"/>
      <c r="V189" s="473"/>
      <c r="W189" s="473"/>
    </row>
    <row r="190" spans="1:23" ht="11.25" customHeight="1" x14ac:dyDescent="0.25">
      <c r="A190" s="407" t="str">
        <f>'Org structure'!E16</f>
        <v>2.3 - Town &amp; Regional Planning</v>
      </c>
      <c r="B190" s="445"/>
      <c r="C190" s="745"/>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Housing Administration</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customHeight="1" x14ac:dyDescent="0.25">
      <c r="A192" s="407" t="str">
        <f>'Org structure'!E18</f>
        <v>2.5 - SATELITE OFFICE: NKOWANKOWA</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customHeight="1" x14ac:dyDescent="0.25">
      <c r="A193" s="407" t="str">
        <f>'Org structure'!E19</f>
        <v>2.6 - SATELITE OFFICE: LENYENYE</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t="str">
        <f>'Org structure'!E20</f>
        <v>2.7 - SATELITE OFFICE: LETSITELE</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Financial Services</v>
      </c>
      <c r="B198" s="440"/>
      <c r="C198" s="503">
        <f t="shared" ref="C198:K198" si="25">SUM(C199:C208)</f>
        <v>3619175.39</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structure'!E25</f>
        <v>3.1 - Administration Finance</v>
      </c>
      <c r="B199" s="445"/>
      <c r="C199" s="745">
        <f>92099+84614.39+1485547</f>
        <v>1662260.3900000001</v>
      </c>
      <c r="D199" s="746"/>
      <c r="E199" s="734"/>
      <c r="F199" s="747"/>
      <c r="G199" s="734"/>
      <c r="H199" s="747"/>
      <c r="I199" s="44">
        <f t="shared" si="16"/>
        <v>0</v>
      </c>
      <c r="J199" s="330" t="str">
        <f t="shared" si="17"/>
        <v/>
      </c>
      <c r="K199" s="748"/>
      <c r="L199" s="48"/>
      <c r="M199" s="473"/>
      <c r="N199" s="473"/>
      <c r="O199" s="473"/>
      <c r="P199" s="473"/>
      <c r="Q199" s="473"/>
      <c r="R199" s="473"/>
      <c r="S199" s="473"/>
      <c r="T199" s="473"/>
      <c r="U199" s="473"/>
      <c r="V199" s="473"/>
      <c r="W199" s="473"/>
    </row>
    <row r="200" spans="1:23" ht="11.25" customHeight="1" x14ac:dyDescent="0.25">
      <c r="A200" s="407" t="str">
        <f>'Org structure'!E26</f>
        <v>3.2 - Budget office</v>
      </c>
      <c r="B200" s="445"/>
      <c r="C200" s="745"/>
      <c r="D200" s="746"/>
      <c r="E200" s="734"/>
      <c r="F200" s="747"/>
      <c r="G200" s="734"/>
      <c r="H200" s="747"/>
      <c r="I200" s="44">
        <f t="shared" ref="I200:I263" si="26">G200-H200</f>
        <v>0</v>
      </c>
      <c r="J200" s="330" t="str">
        <f t="shared" ref="J200:J263" si="27">IF(I200=0,"",I200/H200)</f>
        <v/>
      </c>
      <c r="K200" s="748"/>
      <c r="L200" s="48"/>
      <c r="M200" s="473"/>
      <c r="N200" s="473"/>
      <c r="O200" s="473"/>
      <c r="P200" s="473"/>
      <c r="Q200" s="473"/>
      <c r="R200" s="473"/>
      <c r="S200" s="473"/>
      <c r="T200" s="473"/>
      <c r="U200" s="473"/>
      <c r="V200" s="473"/>
      <c r="W200" s="473"/>
    </row>
    <row r="201" spans="1:23" ht="11.25" customHeight="1" x14ac:dyDescent="0.25">
      <c r="A201" s="407" t="str">
        <f>'Org structure'!E27</f>
        <v>3.3 - Revenue</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customHeight="1" x14ac:dyDescent="0.25">
      <c r="A202" s="407" t="str">
        <f>'Org structure'!E28</f>
        <v>3.4 - Expenditure</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customHeight="1" x14ac:dyDescent="0.25">
      <c r="A203" s="407" t="str">
        <f>'Org structure'!E29</f>
        <v>3.5 - Inventory</v>
      </c>
      <c r="B203" s="445"/>
      <c r="C203" s="394">
        <v>1956915</v>
      </c>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t="str">
        <f>'Org structure'!E30</f>
        <v>3.6 - Supply Chain Management</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7920181.2000000002</v>
      </c>
      <c r="D209" s="444">
        <f t="shared" si="28"/>
        <v>0</v>
      </c>
      <c r="E209" s="441">
        <f t="shared" si="28"/>
        <v>0</v>
      </c>
      <c r="F209" s="443">
        <f t="shared" si="28"/>
        <v>0</v>
      </c>
      <c r="G209" s="441">
        <f t="shared" si="28"/>
        <v>0</v>
      </c>
      <c r="H209" s="443">
        <f t="shared" si="28"/>
        <v>0</v>
      </c>
      <c r="I209" s="44">
        <f t="shared" si="26"/>
        <v>0</v>
      </c>
      <c r="J209" s="330" t="str">
        <f t="shared" si="27"/>
        <v/>
      </c>
      <c r="K209" s="442">
        <f t="shared" si="28"/>
        <v>0</v>
      </c>
      <c r="L209" s="48"/>
      <c r="M209" s="473"/>
      <c r="N209" s="473"/>
      <c r="O209" s="473"/>
      <c r="P209" s="473"/>
      <c r="Q209" s="473"/>
      <c r="R209" s="473"/>
      <c r="S209" s="473"/>
      <c r="T209" s="473"/>
      <c r="U209" s="473"/>
      <c r="V209" s="473"/>
      <c r="W209" s="473"/>
    </row>
    <row r="210" spans="1:23" ht="11.25" customHeight="1" x14ac:dyDescent="0.25">
      <c r="A210" s="407" t="str">
        <f>'Org structure'!E36</f>
        <v>4.1 - Communications</v>
      </c>
      <c r="B210" s="445"/>
      <c r="C210" s="394"/>
      <c r="D210" s="383"/>
      <c r="E210" s="384"/>
      <c r="F210" s="472"/>
      <c r="G210" s="384"/>
      <c r="H210" s="472"/>
      <c r="I210" s="44">
        <f t="shared" si="26"/>
        <v>0</v>
      </c>
      <c r="J210" s="330" t="str">
        <f t="shared" si="27"/>
        <v/>
      </c>
      <c r="K210" s="395"/>
      <c r="L210" s="48"/>
      <c r="M210" s="473"/>
      <c r="N210" s="473"/>
      <c r="O210" s="473"/>
      <c r="P210" s="473"/>
      <c r="Q210" s="473"/>
      <c r="R210" s="473"/>
      <c r="S210" s="473"/>
      <c r="T210" s="473"/>
      <c r="U210" s="473"/>
      <c r="V210" s="473"/>
      <c r="W210" s="473"/>
    </row>
    <row r="211" spans="1:23" ht="11.25" customHeight="1" x14ac:dyDescent="0.25">
      <c r="A211" s="407" t="str">
        <f>'Org structure'!E37</f>
        <v>4.2 - Public Participation &amp; Project Support</v>
      </c>
      <c r="B211" s="445"/>
      <c r="C211" s="394"/>
      <c r="D211" s="383"/>
      <c r="E211" s="384"/>
      <c r="F211" s="472"/>
      <c r="G211" s="384"/>
      <c r="H211" s="472"/>
      <c r="I211" s="44">
        <f t="shared" si="26"/>
        <v>0</v>
      </c>
      <c r="J211" s="330" t="str">
        <f t="shared" si="27"/>
        <v/>
      </c>
      <c r="K211" s="395"/>
      <c r="L211" s="48"/>
      <c r="M211" s="473"/>
      <c r="N211" s="473"/>
      <c r="O211" s="473"/>
      <c r="P211" s="473"/>
      <c r="Q211" s="473"/>
      <c r="R211" s="473"/>
      <c r="S211" s="473"/>
      <c r="T211" s="473"/>
      <c r="U211" s="473"/>
      <c r="V211" s="473"/>
      <c r="W211" s="473"/>
    </row>
    <row r="212" spans="1:23" ht="11.25" customHeight="1" x14ac:dyDescent="0.25">
      <c r="A212" s="407" t="str">
        <f>'Org structure'!E38</f>
        <v>4.3 - Information Technology</v>
      </c>
      <c r="B212" s="445"/>
      <c r="C212" s="394">
        <f>153319+7595576+29366.2+103622</f>
        <v>7881883.2000000002</v>
      </c>
      <c r="D212" s="383"/>
      <c r="E212" s="384"/>
      <c r="F212" s="472"/>
      <c r="G212" s="384"/>
      <c r="H212" s="472"/>
      <c r="I212" s="44">
        <f t="shared" si="26"/>
        <v>0</v>
      </c>
      <c r="J212" s="330" t="str">
        <f t="shared" si="27"/>
        <v/>
      </c>
      <c r="K212" s="395"/>
      <c r="L212" s="48"/>
      <c r="M212" s="473"/>
      <c r="N212" s="473"/>
      <c r="O212" s="473"/>
      <c r="P212" s="473"/>
      <c r="Q212" s="473"/>
      <c r="R212" s="473"/>
      <c r="S212" s="473"/>
      <c r="T212" s="473"/>
      <c r="U212" s="473"/>
      <c r="V212" s="473"/>
      <c r="W212" s="473"/>
    </row>
    <row r="213" spans="1:23" ht="11.25" customHeight="1" x14ac:dyDescent="0.25">
      <c r="A213" s="407" t="str">
        <f>'Org structure'!E39</f>
        <v>4.4 - Administration HR &amp; Corporate</v>
      </c>
      <c r="B213" s="445"/>
      <c r="C213" s="394">
        <v>38298</v>
      </c>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customHeight="1" x14ac:dyDescent="0.25">
      <c r="A214" s="407" t="str">
        <f>'Org structure'!E40</f>
        <v>4.5 - Human Resources</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customHeight="1" x14ac:dyDescent="0.25">
      <c r="A215" s="407" t="str">
        <f>'Org structure'!E41</f>
        <v>4.6 - Occupational Health &amp; safety</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t="str">
        <f>'Org structure'!E42</f>
        <v>4.8 - Corporate Services</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Community Services</v>
      </c>
      <c r="B220" s="440"/>
      <c r="C220" s="503">
        <f t="shared" ref="C220:K220" si="29">SUM(C221:C230)</f>
        <v>554302.11</v>
      </c>
      <c r="D220" s="444">
        <f t="shared" si="29"/>
        <v>1885000</v>
      </c>
      <c r="E220" s="441">
        <f t="shared" si="29"/>
        <v>1885000</v>
      </c>
      <c r="F220" s="443">
        <f t="shared" si="29"/>
        <v>0</v>
      </c>
      <c r="G220" s="441">
        <f t="shared" si="29"/>
        <v>0</v>
      </c>
      <c r="H220" s="443">
        <f t="shared" si="29"/>
        <v>0</v>
      </c>
      <c r="I220" s="44">
        <f t="shared" si="26"/>
        <v>0</v>
      </c>
      <c r="J220" s="330" t="str">
        <f t="shared" si="27"/>
        <v/>
      </c>
      <c r="K220" s="442">
        <f t="shared" si="29"/>
        <v>1885000</v>
      </c>
      <c r="L220" s="48"/>
      <c r="M220" s="473"/>
      <c r="N220" s="473"/>
      <c r="O220" s="473"/>
      <c r="P220" s="473"/>
      <c r="Q220" s="473"/>
      <c r="R220" s="473"/>
      <c r="S220" s="473"/>
      <c r="T220" s="473"/>
      <c r="U220" s="473"/>
      <c r="V220" s="473"/>
      <c r="W220" s="473"/>
    </row>
    <row r="221" spans="1:23" ht="11.25" customHeight="1" x14ac:dyDescent="0.25">
      <c r="A221" s="407" t="str">
        <f>'Org structure'!E47</f>
        <v>5.1 - Parks &amp; Recreation</v>
      </c>
      <c r="B221" s="445"/>
      <c r="C221" s="394">
        <v>345882.61</v>
      </c>
      <c r="D221" s="383">
        <v>1800000</v>
      </c>
      <c r="E221" s="383">
        <v>1800000</v>
      </c>
      <c r="F221" s="472"/>
      <c r="G221" s="384"/>
      <c r="H221" s="472"/>
      <c r="I221" s="44">
        <f t="shared" si="26"/>
        <v>0</v>
      </c>
      <c r="J221" s="330" t="str">
        <f t="shared" si="27"/>
        <v/>
      </c>
      <c r="K221" s="395">
        <v>1800000</v>
      </c>
      <c r="L221" s="48"/>
      <c r="M221" s="473"/>
      <c r="N221" s="473"/>
      <c r="O221" s="473"/>
      <c r="P221" s="473"/>
      <c r="Q221" s="473"/>
      <c r="R221" s="473"/>
      <c r="S221" s="473"/>
      <c r="T221" s="473"/>
      <c r="U221" s="473"/>
      <c r="V221" s="473"/>
      <c r="W221" s="473"/>
    </row>
    <row r="222" spans="1:23" ht="11.25" customHeight="1" x14ac:dyDescent="0.25">
      <c r="A222" s="407" t="str">
        <f>'Org structure'!E48</f>
        <v>5.2 - Administration Community Services</v>
      </c>
      <c r="B222" s="445"/>
      <c r="C222" s="394">
        <f>7366+7828</f>
        <v>15194</v>
      </c>
      <c r="D222" s="383">
        <v>85000</v>
      </c>
      <c r="E222" s="383">
        <v>85000</v>
      </c>
      <c r="F222" s="472"/>
      <c r="G222" s="384"/>
      <c r="H222" s="472"/>
      <c r="I222" s="44">
        <f t="shared" si="26"/>
        <v>0</v>
      </c>
      <c r="J222" s="330" t="str">
        <f t="shared" si="27"/>
        <v/>
      </c>
      <c r="K222" s="395">
        <v>85000</v>
      </c>
      <c r="L222" s="48"/>
      <c r="M222" s="473"/>
      <c r="N222" s="473"/>
      <c r="O222" s="473"/>
      <c r="P222" s="473"/>
      <c r="Q222" s="473"/>
      <c r="R222" s="473"/>
      <c r="S222" s="473"/>
      <c r="T222" s="473"/>
      <c r="U222" s="473"/>
      <c r="V222" s="473"/>
      <c r="W222" s="473"/>
    </row>
    <row r="223" spans="1:23" ht="11.25" customHeight="1" x14ac:dyDescent="0.25">
      <c r="A223" s="407" t="str">
        <f>'Org structure'!E49</f>
        <v>5.3 - Community Health Services</v>
      </c>
      <c r="B223" s="445"/>
      <c r="C223" s="394"/>
      <c r="D223" s="383"/>
      <c r="E223" s="384"/>
      <c r="F223" s="472"/>
      <c r="G223" s="384"/>
      <c r="H223" s="472"/>
      <c r="I223" s="44">
        <f t="shared" si="26"/>
        <v>0</v>
      </c>
      <c r="J223" s="330" t="str">
        <f t="shared" si="27"/>
        <v/>
      </c>
      <c r="K223" s="395"/>
      <c r="L223" s="48"/>
      <c r="M223" s="473"/>
      <c r="N223" s="473"/>
      <c r="O223" s="473"/>
      <c r="P223" s="473"/>
      <c r="Q223" s="473"/>
      <c r="R223" s="473"/>
      <c r="S223" s="473"/>
      <c r="T223" s="473"/>
      <c r="U223" s="473"/>
      <c r="V223" s="473"/>
      <c r="W223" s="473"/>
    </row>
    <row r="224" spans="1:23" ht="11.25" customHeight="1" x14ac:dyDescent="0.25">
      <c r="A224" s="407" t="str">
        <f>'Org structure'!E50</f>
        <v>5.4 - Enviromental Health Services</v>
      </c>
      <c r="B224" s="445"/>
      <c r="C224" s="394">
        <v>193225.5</v>
      </c>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customHeight="1" x14ac:dyDescent="0.25">
      <c r="A225" s="407" t="str">
        <f>'Org structure'!E51</f>
        <v>5.5 - Library Services</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customHeight="1" x14ac:dyDescent="0.25">
      <c r="A226" s="407" t="str">
        <f>'Org structure'!E52</f>
        <v>5.6 - Solid Waste</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customHeight="1" x14ac:dyDescent="0.25">
      <c r="A227" s="407" t="str">
        <f>'Org structure'!E53</f>
        <v>5.7 - Street Cleansing</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t="str">
        <f>'Org structure'!E54</f>
        <v>5.8 - Public Toilets</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Community Services</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structure'!E58</f>
        <v>6.2 - Administration Transport,safety,Security</v>
      </c>
      <c r="B232" s="445"/>
      <c r="C232" s="394"/>
      <c r="D232" s="383"/>
      <c r="E232" s="384"/>
      <c r="F232" s="472"/>
      <c r="G232" s="384"/>
      <c r="H232" s="472"/>
      <c r="I232" s="44">
        <f t="shared" si="26"/>
        <v>0</v>
      </c>
      <c r="J232" s="330" t="str">
        <f t="shared" si="27"/>
        <v/>
      </c>
      <c r="K232" s="395"/>
      <c r="L232" s="48"/>
      <c r="M232" s="473"/>
      <c r="N232" s="473"/>
      <c r="O232" s="473"/>
      <c r="P232" s="473"/>
      <c r="Q232" s="473"/>
      <c r="R232" s="473"/>
      <c r="S232" s="473"/>
      <c r="T232" s="473"/>
      <c r="U232" s="473"/>
      <c r="V232" s="473"/>
      <c r="W232" s="473"/>
    </row>
    <row r="233" spans="1:23" ht="11.25" customHeight="1" x14ac:dyDescent="0.25">
      <c r="A233" s="407" t="str">
        <f>'Org structure'!E59</f>
        <v>6.3 - Vehicle licencing</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6.1 - Traffic services</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structure'!E61</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structure'!E62</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customHeight="1" x14ac:dyDescent="0.25">
      <c r="A242" s="466" t="str">
        <f>'Org structure'!A8</f>
        <v>Vote 7 - Electrical Engineering Services</v>
      </c>
      <c r="B242" s="440"/>
      <c r="C242" s="503">
        <f t="shared" ref="C242:K242" si="31">SUM(C243:C252)</f>
        <v>36071006</v>
      </c>
      <c r="D242" s="444">
        <f t="shared" si="31"/>
        <v>35000000</v>
      </c>
      <c r="E242" s="441">
        <f t="shared" si="31"/>
        <v>35000000</v>
      </c>
      <c r="F242" s="443">
        <f t="shared" si="31"/>
        <v>14913975.459999999</v>
      </c>
      <c r="G242" s="441">
        <f t="shared" si="31"/>
        <v>24414098.59</v>
      </c>
      <c r="H242" s="443">
        <f t="shared" si="31"/>
        <v>26360000</v>
      </c>
      <c r="I242" s="44">
        <f t="shared" si="26"/>
        <v>-1945901.4100000001</v>
      </c>
      <c r="J242" s="330">
        <f t="shared" si="27"/>
        <v>-7.3820235584218519E-2</v>
      </c>
      <c r="K242" s="442">
        <f t="shared" si="31"/>
        <v>35000000</v>
      </c>
      <c r="L242" s="48"/>
      <c r="M242" s="473"/>
      <c r="N242" s="473"/>
      <c r="O242" s="473"/>
      <c r="P242" s="473"/>
      <c r="Q242" s="473"/>
      <c r="R242" s="473"/>
      <c r="S242" s="473"/>
      <c r="T242" s="473"/>
      <c r="U242" s="473"/>
      <c r="V242" s="473"/>
      <c r="W242" s="473"/>
    </row>
    <row r="243" spans="1:23" ht="11.25" customHeight="1" x14ac:dyDescent="0.25">
      <c r="A243" s="407" t="str">
        <f>'Org structure'!E69</f>
        <v>7.1 - Administration Electrical Engineering</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customHeight="1" x14ac:dyDescent="0.25">
      <c r="A244" s="407" t="str">
        <f>'Org structure'!E70</f>
        <v>7.2 - Operations &amp; Maintenance: Rural</v>
      </c>
      <c r="B244" s="445"/>
      <c r="C244" s="394">
        <v>32316403</v>
      </c>
      <c r="D244" s="383">
        <v>7500000</v>
      </c>
      <c r="E244" s="383">
        <v>7500000</v>
      </c>
      <c r="F244" s="472">
        <v>581622.18000000005</v>
      </c>
      <c r="G244" s="384">
        <v>2914445.45</v>
      </c>
      <c r="H244" s="472">
        <v>5390660</v>
      </c>
      <c r="I244" s="44">
        <f t="shared" si="26"/>
        <v>-2476214.5499999998</v>
      </c>
      <c r="J244" s="330">
        <f t="shared" si="27"/>
        <v>-0.45935276014439785</v>
      </c>
      <c r="K244" s="395">
        <v>7500000</v>
      </c>
      <c r="L244" s="48"/>
      <c r="M244" s="473"/>
      <c r="N244" s="473"/>
      <c r="O244" s="473"/>
      <c r="P244" s="473"/>
      <c r="Q244" s="473"/>
      <c r="R244" s="473"/>
      <c r="S244" s="473"/>
      <c r="T244" s="473"/>
      <c r="U244" s="473"/>
      <c r="V244" s="473"/>
      <c r="W244" s="473"/>
    </row>
    <row r="245" spans="1:23" ht="11.25" customHeight="1" x14ac:dyDescent="0.25">
      <c r="A245" s="407" t="str">
        <f>'Org structure'!E71</f>
        <v>7.3 - Operations &amp; Maintenance: Town</v>
      </c>
      <c r="B245" s="445"/>
      <c r="C245" s="394">
        <v>3754603</v>
      </c>
      <c r="D245" s="383">
        <v>27500000</v>
      </c>
      <c r="E245" s="383">
        <v>27500000</v>
      </c>
      <c r="F245" s="472">
        <v>14332353.279999999</v>
      </c>
      <c r="G245" s="384">
        <v>21499653.140000001</v>
      </c>
      <c r="H245" s="472">
        <v>20969340</v>
      </c>
      <c r="I245" s="44">
        <f t="shared" si="26"/>
        <v>530313.1400000006</v>
      </c>
      <c r="J245" s="330">
        <f t="shared" si="27"/>
        <v>2.5289929964414742E-2</v>
      </c>
      <c r="K245" s="395">
        <v>27500000</v>
      </c>
      <c r="L245" s="48"/>
      <c r="M245" s="473"/>
      <c r="N245" s="473"/>
      <c r="O245" s="473"/>
      <c r="P245" s="473"/>
      <c r="Q245" s="473"/>
      <c r="R245" s="473"/>
      <c r="S245" s="473"/>
      <c r="T245" s="473"/>
      <c r="U245" s="473"/>
      <c r="V245" s="473"/>
      <c r="W245" s="473"/>
    </row>
    <row r="246" spans="1:23" ht="11.25"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customHeight="1" x14ac:dyDescent="0.25">
      <c r="A253" s="466" t="str">
        <f>'Org structure'!A9</f>
        <v>Vote 8 - Engineering Services</v>
      </c>
      <c r="B253" s="445"/>
      <c r="C253" s="503">
        <f t="shared" ref="C253:K253" si="32">SUM(C254:C263)</f>
        <v>55263213.810000002</v>
      </c>
      <c r="D253" s="444">
        <f t="shared" si="32"/>
        <v>102699850</v>
      </c>
      <c r="E253" s="441">
        <f t="shared" si="32"/>
        <v>102699850</v>
      </c>
      <c r="F253" s="443">
        <f t="shared" si="32"/>
        <v>10400691.960000001</v>
      </c>
      <c r="G253" s="441">
        <f t="shared" si="32"/>
        <v>50211401.859999992</v>
      </c>
      <c r="H253" s="443">
        <f t="shared" si="32"/>
        <v>53180000</v>
      </c>
      <c r="I253" s="44">
        <f t="shared" si="26"/>
        <v>-2968598.140000008</v>
      </c>
      <c r="J253" s="330">
        <f t="shared" si="27"/>
        <v>-5.5821702519744415E-2</v>
      </c>
      <c r="K253" s="442">
        <f t="shared" si="32"/>
        <v>102699850</v>
      </c>
      <c r="L253" s="48"/>
      <c r="M253" s="473"/>
      <c r="N253" s="473"/>
      <c r="O253" s="473"/>
      <c r="P253" s="473"/>
      <c r="Q253" s="473"/>
      <c r="R253" s="473"/>
      <c r="S253" s="473"/>
      <c r="T253" s="473"/>
      <c r="U253" s="473"/>
      <c r="V253" s="473"/>
      <c r="W253" s="473"/>
    </row>
    <row r="254" spans="1:23" ht="11.25" customHeight="1" x14ac:dyDescent="0.25">
      <c r="A254" s="407" t="str">
        <f>'Org structure'!E80</f>
        <v>8.1 - Fleet Management</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customHeight="1" x14ac:dyDescent="0.25">
      <c r="A255" s="407" t="str">
        <f>'Org structure'!E81</f>
        <v>8.2 - Administration Civil Engineering</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structure'!E82</f>
        <v>8.3 - Roads &amp; stormwater Management</v>
      </c>
      <c r="B256" s="445"/>
      <c r="C256" s="394">
        <v>4605566</v>
      </c>
      <c r="D256" s="383">
        <v>9900000</v>
      </c>
      <c r="E256" s="383">
        <v>9900000</v>
      </c>
      <c r="F256" s="472">
        <v>0</v>
      </c>
      <c r="G256" s="384">
        <v>149077.39000000001</v>
      </c>
      <c r="H256" s="472">
        <v>5538000</v>
      </c>
      <c r="I256" s="44">
        <f t="shared" si="26"/>
        <v>-5388922.6100000003</v>
      </c>
      <c r="J256" s="330">
        <f t="shared" si="27"/>
        <v>-0.9730810057782594</v>
      </c>
      <c r="K256" s="395">
        <v>9900000</v>
      </c>
      <c r="L256" s="48"/>
      <c r="M256" s="473"/>
      <c r="N256" s="473"/>
      <c r="O256" s="473"/>
      <c r="P256" s="473"/>
      <c r="Q256" s="473"/>
      <c r="R256" s="473"/>
      <c r="S256" s="473"/>
      <c r="T256" s="473"/>
      <c r="U256" s="473"/>
      <c r="V256" s="473"/>
      <c r="W256" s="473"/>
    </row>
    <row r="257" spans="1:23" ht="11.25" customHeight="1" x14ac:dyDescent="0.25">
      <c r="A257" s="407" t="str">
        <f>'Org structure'!E83</f>
        <v>8.4 - Water Networks</v>
      </c>
      <c r="B257" s="445"/>
      <c r="C257" s="394"/>
      <c r="D257" s="383"/>
      <c r="E257" s="383"/>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customHeight="1" x14ac:dyDescent="0.25">
      <c r="A258" s="407" t="str">
        <f>'Org structure'!E84</f>
        <v>8.5 - Water Purification</v>
      </c>
      <c r="B258" s="445"/>
      <c r="C258" s="394"/>
      <c r="D258" s="383"/>
      <c r="E258" s="383"/>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customHeight="1" x14ac:dyDescent="0.25">
      <c r="A259" s="407" t="str">
        <f>'Org structure'!E85</f>
        <v>8.6 - Building &amp; Housing</v>
      </c>
      <c r="B259" s="445"/>
      <c r="C259" s="394">
        <v>1057150.81</v>
      </c>
      <c r="D259" s="383">
        <v>3250000</v>
      </c>
      <c r="E259" s="383">
        <v>3250000</v>
      </c>
      <c r="F259" s="472">
        <v>1880267.3</v>
      </c>
      <c r="G259" s="384">
        <v>2005940.4000000001</v>
      </c>
      <c r="H259" s="472">
        <v>1860000</v>
      </c>
      <c r="I259" s="44">
        <f t="shared" si="26"/>
        <v>145940.40000000014</v>
      </c>
      <c r="J259" s="330">
        <f t="shared" si="27"/>
        <v>7.8462580645161359E-2</v>
      </c>
      <c r="K259" s="395"/>
      <c r="L259" s="48"/>
      <c r="M259" s="473"/>
      <c r="N259" s="473"/>
      <c r="O259" s="473"/>
      <c r="P259" s="473"/>
      <c r="Q259" s="473"/>
      <c r="R259" s="473"/>
      <c r="S259" s="473"/>
      <c r="T259" s="473"/>
      <c r="U259" s="473"/>
      <c r="V259" s="473"/>
      <c r="W259" s="473"/>
    </row>
    <row r="260" spans="1:23" ht="11.25" customHeight="1" x14ac:dyDescent="0.25">
      <c r="A260" s="407" t="str">
        <f>'Org structure'!E86</f>
        <v>8.7 - Project Management</v>
      </c>
      <c r="B260" s="445"/>
      <c r="C260" s="394">
        <f>76150621-27014727+464603</f>
        <v>49600497</v>
      </c>
      <c r="D260" s="383">
        <v>89549850</v>
      </c>
      <c r="E260" s="383">
        <v>89549850</v>
      </c>
      <c r="F260" s="472">
        <v>8520424.6600000001</v>
      </c>
      <c r="G260" s="384">
        <v>48056384.069999993</v>
      </c>
      <c r="H260" s="472">
        <v>45782000</v>
      </c>
      <c r="I260" s="44">
        <f t="shared" si="26"/>
        <v>2274384.0699999928</v>
      </c>
      <c r="J260" s="330">
        <f t="shared" si="27"/>
        <v>4.9678565156611613E-2</v>
      </c>
      <c r="K260" s="395">
        <v>3250000</v>
      </c>
      <c r="L260" s="48"/>
      <c r="M260" s="473"/>
      <c r="N260" s="473"/>
      <c r="O260" s="473"/>
      <c r="P260" s="473"/>
      <c r="Q260" s="473"/>
      <c r="R260" s="473"/>
      <c r="S260" s="473"/>
      <c r="T260" s="473"/>
      <c r="U260" s="473"/>
      <c r="V260" s="473"/>
      <c r="W260" s="473"/>
    </row>
    <row r="261" spans="1:23" ht="11.25" customHeight="1" x14ac:dyDescent="0.25">
      <c r="A261" s="407">
        <f>'Org structure'!E87</f>
        <v>0</v>
      </c>
      <c r="B261" s="445"/>
      <c r="C261" s="394"/>
      <c r="D261" s="383"/>
      <c r="E261" s="383"/>
      <c r="F261" s="472"/>
      <c r="G261" s="384"/>
      <c r="H261" s="472"/>
      <c r="I261" s="44">
        <f t="shared" si="26"/>
        <v>0</v>
      </c>
      <c r="J261" s="330" t="str">
        <f t="shared" si="27"/>
        <v/>
      </c>
      <c r="K261" s="395">
        <v>89549850</v>
      </c>
      <c r="L261" s="48"/>
      <c r="M261" s="473"/>
      <c r="N261" s="473"/>
      <c r="O261" s="473"/>
      <c r="P261" s="473"/>
      <c r="Q261" s="473"/>
      <c r="R261" s="473"/>
      <c r="S261" s="473"/>
      <c r="T261" s="473"/>
      <c r="U261" s="473"/>
      <c r="V261" s="473"/>
      <c r="W261" s="473"/>
    </row>
    <row r="262" spans="1:23" ht="11.25"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customHeight="1" x14ac:dyDescent="0.25">
      <c r="A264" s="466" t="str">
        <f>'Org structure'!A10</f>
        <v>Vote 9 - GTEDA</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customHeight="1" x14ac:dyDescent="0.25">
      <c r="A265" s="407" t="str">
        <f>'Org structure'!E91</f>
        <v>9.1 - Gteda</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66" t="str">
        <f>'Org structure'!A11</f>
        <v>Vote 10 - [NAME OF VOTE 10]</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customHeight="1" x14ac:dyDescent="0.25">
      <c r="A276" s="407" t="str">
        <f>'Org structure'!E102</f>
        <v>10.1 - [Name of sub-vote]</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structure'!E103</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66" t="str">
        <f>'Org structure'!A12</f>
        <v>Vote 11 - [NAME OF VOTE 11]</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customHeight="1" x14ac:dyDescent="0.25">
      <c r="A287" s="407" t="str">
        <f>'Org structure'!E113</f>
        <v>11.1 - [Name of sub-vote]</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66" t="str">
        <f>'Org structure'!A13</f>
        <v>Vote 12 - [NAME OF VOTE 12]</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customHeight="1" x14ac:dyDescent="0.25">
      <c r="A298" s="407" t="str">
        <f>'Org structure'!E124</f>
        <v>12.1 - [Name of sub-vote]</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structure'!E125</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structure'!E126</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66" t="str">
        <f>'Org structure'!A14</f>
        <v>Vote 13 - [NAME OF VOTE 13]</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customHeight="1" x14ac:dyDescent="0.25">
      <c r="A309" s="407" t="str">
        <f>'Org structure'!E135</f>
        <v>13.1 - [Name of sub-vote]</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66" t="str">
        <f>'Org structure'!A15</f>
        <v>Vote 14 - [NAME OF VOTE 14]</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customHeight="1" x14ac:dyDescent="0.25">
      <c r="A320" s="407" t="str">
        <f>'Org structure'!E146</f>
        <v>14.1 - [Name of sub-vote]</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66" t="str">
        <f>'Org structure'!A16</f>
        <v>Vote 15 - [NAME OF VOTE 15]</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customHeight="1" x14ac:dyDescent="0.25">
      <c r="A331" s="407" t="str">
        <f>'Org structure'!E157</f>
        <v>15.1 - [Name of sub-vote]</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structure'!E158</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810</v>
      </c>
      <c r="B341" s="713"/>
      <c r="C341" s="508">
        <f>C176+C187+C198+C209+C220+C231+C242+C253+C264+C286+C297+C308+C319+C330+C275</f>
        <v>103447828.51000001</v>
      </c>
      <c r="D341" s="475">
        <f t="shared" ref="D341:K341" si="45">D176+D187+D198+D209+D220+D231+D242+D253+D264+D286+D297+D308+D319+D330+D275</f>
        <v>142719850</v>
      </c>
      <c r="E341" s="430">
        <f t="shared" si="45"/>
        <v>142719850</v>
      </c>
      <c r="F341" s="474">
        <f t="shared" si="45"/>
        <v>25314667.420000002</v>
      </c>
      <c r="G341" s="430">
        <f t="shared" si="45"/>
        <v>74625500.449999988</v>
      </c>
      <c r="H341" s="474">
        <f t="shared" si="45"/>
        <v>79540000</v>
      </c>
      <c r="I341" s="430">
        <f t="shared" si="41"/>
        <v>-4914499.5500000119</v>
      </c>
      <c r="J341" s="430">
        <f t="shared" si="42"/>
        <v>-6.178651684686965E-2</v>
      </c>
      <c r="K341" s="513">
        <f t="shared" si="45"/>
        <v>142719850</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772</v>
      </c>
      <c r="B343" s="477"/>
      <c r="C343" s="509">
        <f>C172+C341</f>
        <v>103447828.51000001</v>
      </c>
      <c r="D343" s="512">
        <f t="shared" ref="D343:K343" si="47">D172+D341</f>
        <v>142719850</v>
      </c>
      <c r="E343" s="55">
        <f t="shared" si="47"/>
        <v>142719850</v>
      </c>
      <c r="F343" s="479">
        <f t="shared" si="47"/>
        <v>25314667.420000002</v>
      </c>
      <c r="G343" s="55">
        <f t="shared" si="47"/>
        <v>74625500.449999988</v>
      </c>
      <c r="H343" s="479">
        <f t="shared" si="47"/>
        <v>79540000</v>
      </c>
      <c r="I343" s="55">
        <f t="shared" si="41"/>
        <v>-4914499.5500000119</v>
      </c>
      <c r="J343" s="55">
        <f t="shared" si="42"/>
        <v>-6.178651684686965E-2</v>
      </c>
      <c r="K343" s="235">
        <f t="shared" si="47"/>
        <v>142719850</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5"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38" activePane="bottomRight" state="frozen"/>
      <selection pane="topRight"/>
      <selection pane="bottomLeft"/>
      <selection pane="bottomRight" activeCell="F38" sqref="F38"/>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39" t="str">
        <f>muni&amp; " - "&amp;S71E&amp; " - "&amp;date</f>
        <v>LIM333 Greater Tzaneen - Table C6 Consolidated Monthly Budget Statement - Financial Position  - M06 December</v>
      </c>
      <c r="B1" s="1039"/>
      <c r="C1" s="1039"/>
      <c r="D1" s="1039"/>
      <c r="E1" s="1039"/>
      <c r="F1" s="1039"/>
      <c r="G1" s="1039"/>
    </row>
    <row r="2" spans="1:8" x14ac:dyDescent="0.25">
      <c r="A2" s="1024" t="str">
        <f>desc</f>
        <v>Description</v>
      </c>
      <c r="B2" s="1017" t="str">
        <f>head27</f>
        <v>Ref</v>
      </c>
      <c r="C2" s="140" t="str">
        <f>Head1</f>
        <v>2018/19</v>
      </c>
      <c r="D2" s="245" t="str">
        <f>Head2</f>
        <v>Budget Year 2019/20</v>
      </c>
      <c r="E2" s="229"/>
      <c r="F2" s="229"/>
      <c r="G2" s="230"/>
    </row>
    <row r="3" spans="1:8" ht="25.5" x14ac:dyDescent="0.25">
      <c r="A3" s="1025"/>
      <c r="B3" s="1028"/>
      <c r="C3" s="140" t="str">
        <f>Head5</f>
        <v>Audited Outcome</v>
      </c>
      <c r="D3" s="257" t="str">
        <f>Head6</f>
        <v>Original Budget</v>
      </c>
      <c r="E3" s="141" t="str">
        <f>Head7</f>
        <v>Adjusted Budget</v>
      </c>
      <c r="F3" s="141" t="str">
        <f>Head39</f>
        <v>YearTD actual</v>
      </c>
      <c r="G3" s="164" t="str">
        <f>Head8</f>
        <v>Full Year Forecast</v>
      </c>
    </row>
    <row r="4" spans="1:8" x14ac:dyDescent="0.25">
      <c r="A4" s="34" t="s">
        <v>676</v>
      </c>
      <c r="B4" s="119">
        <v>1</v>
      </c>
      <c r="C4" s="187"/>
      <c r="D4" s="246"/>
      <c r="E4" s="241"/>
      <c r="F4" s="82"/>
      <c r="G4" s="223"/>
    </row>
    <row r="5" spans="1:8" ht="11.25" customHeight="1" x14ac:dyDescent="0.25">
      <c r="A5" s="182" t="s">
        <v>551</v>
      </c>
      <c r="B5" s="186"/>
      <c r="C5" s="170"/>
      <c r="D5" s="267"/>
      <c r="E5" s="36"/>
      <c r="F5" s="36"/>
      <c r="G5" s="226"/>
    </row>
    <row r="6" spans="1:8" ht="11.25" customHeight="1" x14ac:dyDescent="0.25">
      <c r="A6" s="87" t="s">
        <v>552</v>
      </c>
      <c r="B6" s="169"/>
      <c r="C6" s="40"/>
      <c r="D6" s="268"/>
      <c r="E6" s="103"/>
      <c r="F6" s="103"/>
      <c r="G6" s="266"/>
    </row>
    <row r="7" spans="1:8" ht="12.75" customHeight="1" x14ac:dyDescent="0.25">
      <c r="A7" s="39" t="s">
        <v>796</v>
      </c>
      <c r="B7" s="169"/>
      <c r="C7" s="749">
        <v>42033011</v>
      </c>
      <c r="D7" s="754">
        <v>7240823</v>
      </c>
      <c r="E7" s="754">
        <v>84863608</v>
      </c>
      <c r="F7" s="734"/>
      <c r="G7" s="736">
        <v>7240823</v>
      </c>
    </row>
    <row r="8" spans="1:8" ht="12.75" customHeight="1" x14ac:dyDescent="0.25">
      <c r="A8" s="39" t="s">
        <v>599</v>
      </c>
      <c r="B8" s="169"/>
      <c r="C8" s="749"/>
      <c r="D8" s="754"/>
      <c r="E8" s="754"/>
      <c r="F8" s="734"/>
      <c r="G8" s="736"/>
    </row>
    <row r="9" spans="1:8" ht="12.75" customHeight="1" x14ac:dyDescent="0.25">
      <c r="A9" s="39" t="s">
        <v>597</v>
      </c>
      <c r="B9" s="169"/>
      <c r="C9" s="749">
        <v>92609071</v>
      </c>
      <c r="D9" s="754">
        <v>136462652.74019998</v>
      </c>
      <c r="E9" s="754">
        <v>136462048.22000003</v>
      </c>
      <c r="F9" s="734"/>
      <c r="G9" s="736">
        <v>136462652.74019998</v>
      </c>
    </row>
    <row r="10" spans="1:8" ht="12.75" customHeight="1" x14ac:dyDescent="0.25">
      <c r="A10" s="39" t="s">
        <v>598</v>
      </c>
      <c r="B10" s="169"/>
      <c r="C10" s="749">
        <v>298515783</v>
      </c>
      <c r="D10" s="754">
        <v>301225364.41460001</v>
      </c>
      <c r="E10" s="754">
        <v>301225364.41460001</v>
      </c>
      <c r="F10" s="734"/>
      <c r="G10" s="736">
        <v>301225364.41460001</v>
      </c>
    </row>
    <row r="11" spans="1:8" ht="12.75" customHeight="1" x14ac:dyDescent="0.25">
      <c r="A11" s="39" t="s">
        <v>797</v>
      </c>
      <c r="B11" s="169"/>
      <c r="C11" s="749"/>
      <c r="D11" s="754"/>
      <c r="E11" s="754"/>
      <c r="F11" s="734"/>
      <c r="G11" s="736"/>
    </row>
    <row r="12" spans="1:8" ht="12.75" customHeight="1" x14ac:dyDescent="0.25">
      <c r="A12" s="39" t="s">
        <v>596</v>
      </c>
      <c r="B12" s="169"/>
      <c r="C12" s="749">
        <v>18162335</v>
      </c>
      <c r="D12" s="754">
        <v>21128773.050000001</v>
      </c>
      <c r="E12" s="754">
        <v>21128773.050000001</v>
      </c>
      <c r="F12" s="734"/>
      <c r="G12" s="736">
        <v>21128773.050000001</v>
      </c>
    </row>
    <row r="13" spans="1:8" ht="12.75" customHeight="1" x14ac:dyDescent="0.25">
      <c r="A13" s="92" t="s">
        <v>641</v>
      </c>
      <c r="B13" s="233"/>
      <c r="C13" s="243">
        <f>SUM(C7:C12)</f>
        <v>451320200</v>
      </c>
      <c r="D13" s="260">
        <f>SUM(D7:D12)</f>
        <v>466057613.20480001</v>
      </c>
      <c r="E13" s="73">
        <f>SUM(E7:E12)</f>
        <v>543679793.6846</v>
      </c>
      <c r="F13" s="73">
        <f>SUM(F7:F12)</f>
        <v>0</v>
      </c>
      <c r="G13" s="145">
        <f>SUM(G7:G12)</f>
        <v>466057613.20480001</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595</v>
      </c>
      <c r="B16" s="169"/>
      <c r="C16" s="749"/>
      <c r="D16" s="754"/>
      <c r="E16" s="734"/>
      <c r="F16" s="734"/>
      <c r="G16" s="736"/>
      <c r="H16" s="39"/>
    </row>
    <row r="17" spans="1:8" ht="12.75" customHeight="1" x14ac:dyDescent="0.25">
      <c r="A17" s="39" t="s">
        <v>553</v>
      </c>
      <c r="B17" s="169"/>
      <c r="C17" s="749">
        <v>31525083</v>
      </c>
      <c r="D17" s="754">
        <v>33878623.323100001</v>
      </c>
      <c r="E17" s="754">
        <v>33878623.323100001</v>
      </c>
      <c r="F17" s="734"/>
      <c r="G17" s="736">
        <v>33878623.323100001</v>
      </c>
      <c r="H17" s="39"/>
    </row>
    <row r="18" spans="1:8" ht="12.75" customHeight="1" x14ac:dyDescent="0.25">
      <c r="A18" s="39" t="s">
        <v>594</v>
      </c>
      <c r="B18" s="169"/>
      <c r="C18" s="749">
        <v>181377053</v>
      </c>
      <c r="D18" s="754">
        <v>189057053</v>
      </c>
      <c r="E18" s="754">
        <v>189057053</v>
      </c>
      <c r="F18" s="734"/>
      <c r="G18" s="736">
        <v>189057053</v>
      </c>
      <c r="H18" s="39"/>
    </row>
    <row r="19" spans="1:8" ht="12.75" customHeight="1" x14ac:dyDescent="0.25">
      <c r="A19" s="39" t="s">
        <v>284</v>
      </c>
      <c r="B19" s="169"/>
      <c r="C19" s="749"/>
      <c r="D19" s="754"/>
      <c r="E19" s="734"/>
      <c r="F19" s="734"/>
      <c r="G19" s="736"/>
      <c r="H19" s="39"/>
    </row>
    <row r="20" spans="1:8" ht="12.75" customHeight="1" x14ac:dyDescent="0.25">
      <c r="A20" s="39" t="s">
        <v>593</v>
      </c>
      <c r="B20" s="169"/>
      <c r="C20" s="749">
        <v>1455227822</v>
      </c>
      <c r="D20" s="754">
        <v>1631835892</v>
      </c>
      <c r="E20" s="754">
        <v>1631835892</v>
      </c>
      <c r="F20" s="734"/>
      <c r="G20" s="736">
        <v>1631835892</v>
      </c>
    </row>
    <row r="21" spans="1:8" ht="0.95" customHeight="1" x14ac:dyDescent="0.25">
      <c r="A21" s="39"/>
      <c r="B21" s="169"/>
      <c r="C21" s="649"/>
      <c r="D21" s="671"/>
      <c r="E21" s="408"/>
      <c r="F21" s="408"/>
      <c r="G21" s="643"/>
      <c r="H21" s="39"/>
    </row>
    <row r="22" spans="1:8" ht="12.75" customHeight="1" x14ac:dyDescent="0.25">
      <c r="A22" s="39" t="s">
        <v>1342</v>
      </c>
      <c r="B22" s="169"/>
      <c r="C22" s="749"/>
      <c r="D22" s="754"/>
      <c r="E22" s="734"/>
      <c r="F22" s="734"/>
      <c r="G22" s="736"/>
      <c r="H22" s="39"/>
    </row>
    <row r="23" spans="1:8" ht="12.75" customHeight="1" x14ac:dyDescent="0.25">
      <c r="A23" s="39" t="s">
        <v>1343</v>
      </c>
      <c r="B23" s="169"/>
      <c r="C23" s="749">
        <v>1135137</v>
      </c>
      <c r="D23" s="754">
        <v>1416824.3247999998</v>
      </c>
      <c r="E23" s="754">
        <v>1416824.3247999998</v>
      </c>
      <c r="F23" s="734"/>
      <c r="G23" s="736">
        <v>1416824.3247999998</v>
      </c>
      <c r="H23" s="39"/>
    </row>
    <row r="24" spans="1:8" ht="12.75" customHeight="1" x14ac:dyDescent="0.25">
      <c r="A24" s="39" t="s">
        <v>806</v>
      </c>
      <c r="B24" s="169"/>
      <c r="C24" s="749">
        <v>195000</v>
      </c>
      <c r="D24" s="754"/>
      <c r="E24" s="734"/>
      <c r="F24" s="734"/>
      <c r="G24" s="736"/>
      <c r="H24" s="39"/>
    </row>
    <row r="25" spans="1:8" ht="12.75" customHeight="1" x14ac:dyDescent="0.25">
      <c r="A25" s="92" t="s">
        <v>640</v>
      </c>
      <c r="B25" s="233"/>
      <c r="C25" s="243">
        <f>SUM(C16:C20)+SUM(C22:C24)</f>
        <v>1669460095</v>
      </c>
      <c r="D25" s="260">
        <f>SUM(D16:D20)+SUM(D22:D24)</f>
        <v>1856188392.6479001</v>
      </c>
      <c r="E25" s="73">
        <f>SUM(E16:E20)+SUM(E22:E24)</f>
        <v>1856188392.6479001</v>
      </c>
      <c r="F25" s="73">
        <f>SUM(F16:F20)+SUM(F22:F24)</f>
        <v>0</v>
      </c>
      <c r="G25" s="145">
        <f>SUM(G16:G20)+SUM(G22:G24)</f>
        <v>1856188392.6479001</v>
      </c>
      <c r="H25" s="39"/>
    </row>
    <row r="26" spans="1:8" ht="12.75" customHeight="1" x14ac:dyDescent="0.25">
      <c r="A26" s="92" t="s">
        <v>789</v>
      </c>
      <c r="B26" s="233"/>
      <c r="C26" s="243">
        <f>C13+C25</f>
        <v>2120780295</v>
      </c>
      <c r="D26" s="260">
        <f>D13+D25</f>
        <v>2322246005.8527002</v>
      </c>
      <c r="E26" s="73">
        <f>E13+E25</f>
        <v>2399868186.3325</v>
      </c>
      <c r="F26" s="73">
        <f>F13+F25</f>
        <v>0</v>
      </c>
      <c r="G26" s="145">
        <f>G13+G25</f>
        <v>2322246005.8527002</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554</v>
      </c>
      <c r="B29" s="175"/>
      <c r="C29" s="134"/>
      <c r="D29" s="258"/>
      <c r="E29" s="44"/>
      <c r="F29" s="44"/>
      <c r="G29" s="144"/>
    </row>
    <row r="30" spans="1:8" ht="12.75" customHeight="1" x14ac:dyDescent="0.25">
      <c r="A30" s="39" t="s">
        <v>755</v>
      </c>
      <c r="B30" s="169"/>
      <c r="C30" s="749"/>
      <c r="D30" s="754"/>
      <c r="E30" s="734"/>
      <c r="F30" s="734"/>
      <c r="G30" s="736"/>
    </row>
    <row r="31" spans="1:8" ht="12.75" customHeight="1" x14ac:dyDescent="0.25">
      <c r="A31" s="39" t="s">
        <v>790</v>
      </c>
      <c r="B31" s="169"/>
      <c r="C31" s="749">
        <v>21670248</v>
      </c>
      <c r="D31" s="754">
        <v>9818010.3850491252</v>
      </c>
      <c r="E31" s="754">
        <v>9818010.3850491252</v>
      </c>
      <c r="F31" s="734"/>
      <c r="G31" s="736">
        <v>9818010.3850491252</v>
      </c>
    </row>
    <row r="32" spans="1:8" ht="12.75" customHeight="1" x14ac:dyDescent="0.25">
      <c r="A32" s="39" t="s">
        <v>592</v>
      </c>
      <c r="B32" s="169"/>
      <c r="C32" s="749">
        <v>27068007</v>
      </c>
      <c r="D32" s="754">
        <v>29058463</v>
      </c>
      <c r="E32" s="754">
        <v>29058463</v>
      </c>
      <c r="F32" s="734"/>
      <c r="G32" s="736">
        <v>29058463</v>
      </c>
    </row>
    <row r="33" spans="1:7" ht="12.75" customHeight="1" x14ac:dyDescent="0.25">
      <c r="A33" s="39" t="s">
        <v>798</v>
      </c>
      <c r="B33" s="169"/>
      <c r="C33" s="749">
        <v>276788637</v>
      </c>
      <c r="D33" s="754">
        <v>247511222.12715</v>
      </c>
      <c r="E33" s="754">
        <v>247511222.12715</v>
      </c>
      <c r="F33" s="734"/>
      <c r="G33" s="736">
        <v>247511222.12715</v>
      </c>
    </row>
    <row r="34" spans="1:7" ht="12.75" customHeight="1" x14ac:dyDescent="0.25">
      <c r="A34" s="39" t="s">
        <v>555</v>
      </c>
      <c r="B34" s="169"/>
      <c r="C34" s="749">
        <v>948670</v>
      </c>
      <c r="D34" s="754">
        <v>500815.48639999999</v>
      </c>
      <c r="E34" s="754">
        <v>500815.48639999999</v>
      </c>
      <c r="F34" s="734"/>
      <c r="G34" s="736">
        <v>500815.48639999999</v>
      </c>
    </row>
    <row r="35" spans="1:7" ht="12.75" customHeight="1" x14ac:dyDescent="0.25">
      <c r="A35" s="92" t="s">
        <v>466</v>
      </c>
      <c r="B35" s="233"/>
      <c r="C35" s="243">
        <f>SUM(C30:C34)</f>
        <v>326475562</v>
      </c>
      <c r="D35" s="260">
        <f>SUM(D30:D34)</f>
        <v>286888510.99859911</v>
      </c>
      <c r="E35" s="73">
        <f>SUM(E30:E34)</f>
        <v>286888510.99859911</v>
      </c>
      <c r="F35" s="73">
        <f>SUM(F30:F34)</f>
        <v>0</v>
      </c>
      <c r="G35" s="145">
        <f>SUM(G30:G34)</f>
        <v>286888510.99859911</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790</v>
      </c>
      <c r="B38" s="169"/>
      <c r="C38" s="749">
        <v>110645166</v>
      </c>
      <c r="D38" s="754">
        <v>113337810.80647588</v>
      </c>
      <c r="E38" s="754">
        <v>113337810.80647588</v>
      </c>
      <c r="F38" s="734"/>
      <c r="G38" s="736">
        <v>113337810.80647588</v>
      </c>
    </row>
    <row r="39" spans="1:7" ht="12.75" customHeight="1" x14ac:dyDescent="0.25">
      <c r="A39" s="39" t="s">
        <v>555</v>
      </c>
      <c r="B39" s="169"/>
      <c r="C39" s="749">
        <v>90115333</v>
      </c>
      <c r="D39" s="754">
        <v>86383353.128000006</v>
      </c>
      <c r="E39" s="754">
        <v>86383353.128000006</v>
      </c>
      <c r="F39" s="734"/>
      <c r="G39" s="736">
        <v>86383353.128000006</v>
      </c>
    </row>
    <row r="40" spans="1:7" ht="12.75" customHeight="1" x14ac:dyDescent="0.25">
      <c r="A40" s="92" t="s">
        <v>465</v>
      </c>
      <c r="B40" s="233"/>
      <c r="C40" s="243">
        <f>SUM(C38:C39)</f>
        <v>200760499</v>
      </c>
      <c r="D40" s="260">
        <f>SUM(D38:D39)</f>
        <v>199721163.9344759</v>
      </c>
      <c r="E40" s="73">
        <f>SUM(E38:E39)</f>
        <v>199721163.9344759</v>
      </c>
      <c r="F40" s="73">
        <f>SUM(F38:F39)</f>
        <v>0</v>
      </c>
      <c r="G40" s="145">
        <f>SUM(G38:G39)</f>
        <v>199721163.9344759</v>
      </c>
    </row>
    <row r="41" spans="1:7" ht="12.75" customHeight="1" x14ac:dyDescent="0.25">
      <c r="A41" s="92" t="s">
        <v>1</v>
      </c>
      <c r="B41" s="233"/>
      <c r="C41" s="243">
        <f>C35+C40</f>
        <v>527236061</v>
      </c>
      <c r="D41" s="260">
        <f>D35+D40</f>
        <v>486609674.93307501</v>
      </c>
      <c r="E41" s="73">
        <f>E35+E40</f>
        <v>486609674.93307501</v>
      </c>
      <c r="F41" s="73">
        <f>F35+F40</f>
        <v>0</v>
      </c>
      <c r="G41" s="145">
        <f>G35+G40</f>
        <v>486609674.93307501</v>
      </c>
    </row>
    <row r="42" spans="1:7" ht="5.0999999999999996" customHeight="1" x14ac:dyDescent="0.25">
      <c r="A42" s="42"/>
      <c r="B42" s="169"/>
      <c r="C42" s="134"/>
      <c r="D42" s="258"/>
      <c r="E42" s="44"/>
      <c r="F42" s="44"/>
      <c r="G42" s="144"/>
    </row>
    <row r="43" spans="1:7" ht="12.75" customHeight="1" x14ac:dyDescent="0.25">
      <c r="A43" s="94" t="s">
        <v>788</v>
      </c>
      <c r="B43" s="119">
        <v>2</v>
      </c>
      <c r="C43" s="244">
        <f>C26-C41</f>
        <v>1593544234</v>
      </c>
      <c r="D43" s="265">
        <f>D26-D41</f>
        <v>1835636330.9196253</v>
      </c>
      <c r="E43" s="76">
        <f>E26-E41</f>
        <v>1913258511.399425</v>
      </c>
      <c r="F43" s="76">
        <f>F26-F41</f>
        <v>0</v>
      </c>
      <c r="G43" s="234">
        <f>G26-G41</f>
        <v>1835636330.9196253</v>
      </c>
    </row>
    <row r="44" spans="1:7" ht="5.0999999999999996" customHeight="1" x14ac:dyDescent="0.25">
      <c r="A44" s="42"/>
      <c r="B44" s="169"/>
      <c r="C44" s="134"/>
      <c r="D44" s="258"/>
      <c r="E44" s="44"/>
      <c r="F44" s="44"/>
      <c r="G44" s="144"/>
    </row>
    <row r="45" spans="1:7" ht="12.75" customHeight="1" x14ac:dyDescent="0.25">
      <c r="A45" s="35" t="s">
        <v>642</v>
      </c>
      <c r="B45" s="169"/>
      <c r="C45" s="134"/>
      <c r="D45" s="258"/>
      <c r="E45" s="44"/>
      <c r="F45" s="44"/>
      <c r="G45" s="144"/>
    </row>
    <row r="46" spans="1:7" ht="12.75" customHeight="1" x14ac:dyDescent="0.25">
      <c r="A46" s="39" t="s">
        <v>577</v>
      </c>
      <c r="B46" s="169"/>
      <c r="C46" s="749">
        <v>1593544234</v>
      </c>
      <c r="D46" s="754">
        <v>1835636330.9196253</v>
      </c>
      <c r="E46" s="754">
        <v>1913258510.9196301</v>
      </c>
      <c r="F46" s="734"/>
      <c r="G46" s="736">
        <v>1835636330.9196253</v>
      </c>
    </row>
    <row r="47" spans="1:7" ht="12.75" customHeight="1" x14ac:dyDescent="0.25">
      <c r="A47" s="39" t="s">
        <v>916</v>
      </c>
      <c r="B47" s="169"/>
      <c r="C47" s="749"/>
      <c r="D47" s="754"/>
      <c r="E47" s="734"/>
      <c r="F47" s="734"/>
      <c r="G47" s="736"/>
    </row>
    <row r="48" spans="1:7" ht="12.75" customHeight="1" x14ac:dyDescent="0.25">
      <c r="A48" s="53" t="s">
        <v>635</v>
      </c>
      <c r="B48" s="236">
        <v>2</v>
      </c>
      <c r="C48" s="112">
        <f>SUM(C46:C47)</f>
        <v>1593544234</v>
      </c>
      <c r="D48" s="271">
        <f>SUM(D46:D47)</f>
        <v>1835636330.9196253</v>
      </c>
      <c r="E48" s="55">
        <f>SUM(E46:E47)</f>
        <v>1913258510.9196301</v>
      </c>
      <c r="F48" s="55">
        <f>SUM(F46:F47)</f>
        <v>0</v>
      </c>
      <c r="G48" s="235">
        <f>SUM(G46:G47)</f>
        <v>1835636330.9196253</v>
      </c>
    </row>
    <row r="49" spans="1:7" ht="12.75" customHeight="1" x14ac:dyDescent="0.25">
      <c r="A49" s="78" t="str">
        <f>head27a</f>
        <v>References</v>
      </c>
      <c r="B49" s="58"/>
      <c r="C49" s="49"/>
      <c r="D49" s="49"/>
      <c r="E49" s="49"/>
      <c r="F49" s="49"/>
      <c r="G49" s="49"/>
    </row>
    <row r="50" spans="1:7" ht="13.5" customHeight="1" x14ac:dyDescent="0.25">
      <c r="A50" s="1038" t="s">
        <v>151</v>
      </c>
      <c r="B50" s="1038"/>
      <c r="C50" s="1038"/>
      <c r="D50" s="1038"/>
      <c r="E50" s="1038"/>
      <c r="F50" s="1038"/>
      <c r="G50" s="1038"/>
    </row>
    <row r="51" spans="1:7" ht="13.5" customHeight="1" x14ac:dyDescent="0.25">
      <c r="A51" s="80" t="s">
        <v>912</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731</v>
      </c>
      <c r="B54" s="64"/>
      <c r="C54" s="118">
        <f>C43-C48</f>
        <v>0</v>
      </c>
      <c r="D54" s="118">
        <f>D43-D48</f>
        <v>0</v>
      </c>
      <c r="E54" s="118">
        <f>E43-E48</f>
        <v>0.47979497909545898</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5"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17" activePane="bottomRight" state="frozen"/>
      <selection pane="topRight"/>
      <selection pane="bottomLeft"/>
      <selection pane="bottomRight" activeCell="E40" sqref="E40"/>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"&amp;S71F&amp; " - "&amp;date</f>
        <v>LIM333 Greater Tzaneen - Table C7 Consolidated Monthly Budget Statement - Cash Flow  - M06 December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119">
        <v>1</v>
      </c>
      <c r="C4" s="187"/>
      <c r="D4" s="240"/>
      <c r="E4" s="241"/>
      <c r="F4" s="82"/>
      <c r="G4" s="82"/>
      <c r="H4" s="82"/>
      <c r="I4" s="82"/>
      <c r="J4" s="242" t="s">
        <v>583</v>
      </c>
      <c r="K4" s="223"/>
    </row>
    <row r="5" spans="1:11" ht="12.75" customHeight="1" x14ac:dyDescent="0.25">
      <c r="A5" s="272" t="s">
        <v>848</v>
      </c>
      <c r="B5" s="186"/>
      <c r="C5" s="170"/>
      <c r="D5" s="37"/>
      <c r="E5" s="36"/>
      <c r="F5" s="36"/>
      <c r="G5" s="36"/>
      <c r="H5" s="36"/>
      <c r="I5" s="36"/>
      <c r="J5" s="36"/>
      <c r="K5" s="226"/>
    </row>
    <row r="6" spans="1:11" ht="12.75" customHeight="1" x14ac:dyDescent="0.25">
      <c r="A6" s="87" t="s">
        <v>910</v>
      </c>
      <c r="B6" s="169"/>
      <c r="C6" s="40"/>
      <c r="D6" s="104"/>
      <c r="E6" s="103"/>
      <c r="F6" s="103"/>
      <c r="G6" s="103"/>
      <c r="H6" s="103"/>
      <c r="I6" s="103"/>
      <c r="J6" s="103"/>
      <c r="K6" s="266"/>
    </row>
    <row r="7" spans="1:11" ht="12.75" customHeight="1" x14ac:dyDescent="0.25">
      <c r="A7" s="518" t="s">
        <v>946</v>
      </c>
      <c r="B7" s="169"/>
      <c r="C7" s="749">
        <v>89038362</v>
      </c>
      <c r="D7" s="746">
        <v>101160000</v>
      </c>
      <c r="E7" s="746">
        <v>101160000</v>
      </c>
      <c r="F7" s="734">
        <v>6913624.1100000003</v>
      </c>
      <c r="G7" s="734">
        <v>22351948.109999999</v>
      </c>
      <c r="H7" s="734">
        <v>22565642.288639784</v>
      </c>
      <c r="I7" s="44">
        <f t="shared" ref="I7:I13" si="0">G7-H7</f>
        <v>-213694.17863978446</v>
      </c>
      <c r="J7" s="330">
        <f>IF(I7=0,"",I7/H7)</f>
        <v>-9.4698912579751597E-3</v>
      </c>
      <c r="K7" s="736">
        <v>101160000</v>
      </c>
    </row>
    <row r="8" spans="1:11" ht="12.75" customHeight="1" x14ac:dyDescent="0.25">
      <c r="A8" s="518" t="s">
        <v>977</v>
      </c>
      <c r="B8" s="169"/>
      <c r="C8" s="749">
        <v>537824116.68000007</v>
      </c>
      <c r="D8" s="746">
        <v>562168444.44000006</v>
      </c>
      <c r="E8" s="746">
        <v>555728444.44000006</v>
      </c>
      <c r="F8" s="734">
        <v>60853609.740000002</v>
      </c>
      <c r="G8" s="734">
        <v>156793719.32662404</v>
      </c>
      <c r="H8" s="734">
        <v>132793703.97519165</v>
      </c>
      <c r="I8" s="44">
        <f t="shared" si="0"/>
        <v>24000015.351432383</v>
      </c>
      <c r="J8" s="330">
        <f>IF(I8=0,"",I8/H8)</f>
        <v>0.18073157561683825</v>
      </c>
      <c r="K8" s="736">
        <v>562168444.44000006</v>
      </c>
    </row>
    <row r="9" spans="1:11" ht="12.75" customHeight="1" x14ac:dyDescent="0.25">
      <c r="A9" s="518" t="s">
        <v>460</v>
      </c>
      <c r="B9" s="169"/>
      <c r="C9" s="749">
        <v>52656007</v>
      </c>
      <c r="D9" s="746">
        <v>65004167</v>
      </c>
      <c r="E9" s="746">
        <v>61186167</v>
      </c>
      <c r="F9" s="734">
        <v>47326549.25</v>
      </c>
      <c r="G9" s="734">
        <v>91101189.25</v>
      </c>
      <c r="H9" s="734">
        <v>15507511.054648589</v>
      </c>
      <c r="I9" s="44">
        <f t="shared" si="0"/>
        <v>75593678.195351407</v>
      </c>
      <c r="J9" s="330">
        <f>IF(I9=0,"",I9/H9)</f>
        <v>4.8746493185759272</v>
      </c>
      <c r="K9" s="736">
        <v>65004167</v>
      </c>
    </row>
    <row r="10" spans="1:11" ht="12.75" customHeight="1" x14ac:dyDescent="0.25">
      <c r="A10" s="86" t="s">
        <v>705</v>
      </c>
      <c r="B10" s="171"/>
      <c r="C10" s="749">
        <f>474170811-C11</f>
        <v>426078320</v>
      </c>
      <c r="D10" s="746">
        <v>416300150</v>
      </c>
      <c r="E10" s="746">
        <v>417239751</v>
      </c>
      <c r="F10" s="734">
        <v>0</v>
      </c>
      <c r="G10" s="734">
        <v>167455000</v>
      </c>
      <c r="H10" s="734">
        <v>164297303.37842816</v>
      </c>
      <c r="I10" s="44">
        <f t="shared" si="0"/>
        <v>3157696.6215718389</v>
      </c>
      <c r="J10" s="330">
        <f>IF(I10=0,"",I10/H10)</f>
        <v>1.9219406263161085E-2</v>
      </c>
      <c r="K10" s="736">
        <v>416300150</v>
      </c>
    </row>
    <row r="11" spans="1:11" ht="12.75" customHeight="1" x14ac:dyDescent="0.25">
      <c r="A11" s="86" t="s">
        <v>706</v>
      </c>
      <c r="B11" s="171"/>
      <c r="C11" s="749">
        <v>48092491</v>
      </c>
      <c r="D11" s="746">
        <v>89549850</v>
      </c>
      <c r="E11" s="746">
        <v>89549850</v>
      </c>
      <c r="F11" s="734">
        <v>0</v>
      </c>
      <c r="G11" s="734">
        <v>31236000</v>
      </c>
      <c r="H11" s="734">
        <v>38566233.97859291</v>
      </c>
      <c r="I11" s="44">
        <f t="shared" si="0"/>
        <v>-7330233.9785929099</v>
      </c>
      <c r="J11" s="330">
        <f t="shared" ref="J11:J18" si="1">IF(I11=0,"",I11/H11)</f>
        <v>-0.19006870058045408</v>
      </c>
      <c r="K11" s="736">
        <v>89549850</v>
      </c>
    </row>
    <row r="12" spans="1:11" ht="12.75" customHeight="1" x14ac:dyDescent="0.25">
      <c r="A12" s="86" t="s">
        <v>899</v>
      </c>
      <c r="B12" s="171"/>
      <c r="C12" s="749">
        <v>9615814</v>
      </c>
      <c r="D12" s="746">
        <v>14910700</v>
      </c>
      <c r="E12" s="746">
        <v>14910700</v>
      </c>
      <c r="F12" s="734">
        <v>0</v>
      </c>
      <c r="G12" s="734">
        <v>195129</v>
      </c>
      <c r="H12" s="734">
        <v>2945409.1361758607</v>
      </c>
      <c r="I12" s="44">
        <f t="shared" si="0"/>
        <v>-2750280.1361758607</v>
      </c>
      <c r="J12" s="330">
        <f t="shared" si="1"/>
        <v>-0.933751478664406</v>
      </c>
      <c r="K12" s="736">
        <v>14910700</v>
      </c>
    </row>
    <row r="13" spans="1:11" ht="12.75" customHeight="1" x14ac:dyDescent="0.25">
      <c r="A13" s="86" t="s">
        <v>675</v>
      </c>
      <c r="B13" s="171"/>
      <c r="C13" s="749"/>
      <c r="D13" s="746"/>
      <c r="E13" s="734"/>
      <c r="F13" s="734"/>
      <c r="G13" s="734"/>
      <c r="H13" s="734"/>
      <c r="I13" s="44">
        <f t="shared" si="0"/>
        <v>0</v>
      </c>
      <c r="J13" s="330" t="str">
        <f t="shared" si="1"/>
        <v/>
      </c>
      <c r="K13" s="736"/>
    </row>
    <row r="14" spans="1:11" ht="12.75" customHeight="1" x14ac:dyDescent="0.25">
      <c r="A14" s="88" t="s">
        <v>911</v>
      </c>
      <c r="B14" s="171"/>
      <c r="C14" s="134"/>
      <c r="D14" s="46"/>
      <c r="E14" s="44"/>
      <c r="F14" s="44"/>
      <c r="G14" s="44"/>
      <c r="H14" s="44"/>
      <c r="I14" s="44"/>
      <c r="J14" s="330"/>
      <c r="K14" s="144"/>
    </row>
    <row r="15" spans="1:11" ht="12.75" customHeight="1" x14ac:dyDescent="0.25">
      <c r="A15" s="86" t="s">
        <v>707</v>
      </c>
      <c r="B15" s="171"/>
      <c r="C15" s="749">
        <v>-930219538</v>
      </c>
      <c r="D15" s="746">
        <v>-1061092407.8099999</v>
      </c>
      <c r="E15" s="746">
        <v>-995575744.80999994</v>
      </c>
      <c r="F15" s="734">
        <v>-118027261.25</v>
      </c>
      <c r="G15" s="734">
        <f>-382575267.34-65000000</f>
        <v>-447575267.33999997</v>
      </c>
      <c r="H15" s="734">
        <v>-312615987.960751</v>
      </c>
      <c r="I15" s="44">
        <f>H15-G15</f>
        <v>134959279.37924898</v>
      </c>
      <c r="J15" s="330">
        <f t="shared" si="1"/>
        <v>-0.43170946009387445</v>
      </c>
      <c r="K15" s="736">
        <v>-1061092407.8099999</v>
      </c>
    </row>
    <row r="16" spans="1:11" ht="12.75" customHeight="1" x14ac:dyDescent="0.25">
      <c r="A16" s="86" t="s">
        <v>459</v>
      </c>
      <c r="B16" s="171"/>
      <c r="C16" s="749">
        <v>-10961350</v>
      </c>
      <c r="D16" s="746">
        <v>-14658314</v>
      </c>
      <c r="E16" s="746">
        <v>-14658314</v>
      </c>
      <c r="F16" s="734">
        <v>-1939730.31</v>
      </c>
      <c r="G16" s="734">
        <v>-2356493.9991093599</v>
      </c>
      <c r="H16" s="734">
        <v>-497995.78846236598</v>
      </c>
      <c r="I16" s="44">
        <f>H16-G16</f>
        <v>1858498.2106469939</v>
      </c>
      <c r="J16" s="330">
        <f t="shared" si="1"/>
        <v>-3.7319556785517722</v>
      </c>
      <c r="K16" s="736">
        <v>-14658314</v>
      </c>
    </row>
    <row r="17" spans="1:11" ht="12.75" customHeight="1" x14ac:dyDescent="0.25">
      <c r="A17" s="86" t="s">
        <v>69</v>
      </c>
      <c r="B17" s="171"/>
      <c r="C17" s="749">
        <v>-50297361</v>
      </c>
      <c r="D17" s="746">
        <v>-35047673</v>
      </c>
      <c r="E17" s="746">
        <v>-37815673</v>
      </c>
      <c r="F17" s="734">
        <v>-1249524.98</v>
      </c>
      <c r="G17" s="734">
        <v>-3815424.45</v>
      </c>
      <c r="H17" s="734">
        <v>-3815424.45</v>
      </c>
      <c r="I17" s="44">
        <f>H17-G17</f>
        <v>0</v>
      </c>
      <c r="J17" s="330" t="str">
        <f t="shared" si="1"/>
        <v/>
      </c>
      <c r="K17" s="736">
        <v>-35047673</v>
      </c>
    </row>
    <row r="18" spans="1:11" ht="12.75" customHeight="1" x14ac:dyDescent="0.25">
      <c r="A18" s="92" t="s">
        <v>903</v>
      </c>
      <c r="B18" s="233"/>
      <c r="C18" s="243">
        <f t="shared" ref="C18:H18" si="2">SUM(C7:C13)+SUM(C15:C17)</f>
        <v>171826861.68000007</v>
      </c>
      <c r="D18" s="74">
        <f t="shared" si="2"/>
        <v>138294916.63000011</v>
      </c>
      <c r="E18" s="73">
        <f t="shared" si="2"/>
        <v>191725180.63000011</v>
      </c>
      <c r="F18" s="73">
        <f t="shared" si="2"/>
        <v>-6122733.4399999976</v>
      </c>
      <c r="G18" s="73">
        <f t="shared" si="2"/>
        <v>15385799.897514701</v>
      </c>
      <c r="H18" s="73">
        <f t="shared" si="2"/>
        <v>59746395.612463653</v>
      </c>
      <c r="I18" s="73">
        <f>H18-G18</f>
        <v>44360595.714948952</v>
      </c>
      <c r="J18" s="331">
        <f t="shared" si="1"/>
        <v>0.74248153817826157</v>
      </c>
      <c r="K18" s="145">
        <f>SUM(K7:K13)+SUM(K15:K17)</f>
        <v>138294916.63000011</v>
      </c>
    </row>
    <row r="19" spans="1:11" ht="5.0999999999999996" customHeight="1" x14ac:dyDescent="0.25">
      <c r="A19" s="42"/>
      <c r="B19" s="169"/>
      <c r="C19" s="134"/>
      <c r="D19" s="46"/>
      <c r="E19" s="44"/>
      <c r="F19" s="44"/>
      <c r="G19" s="44"/>
      <c r="H19" s="44"/>
      <c r="I19" s="44"/>
      <c r="J19" s="44"/>
      <c r="K19" s="144"/>
    </row>
    <row r="20" spans="1:11" ht="12.75" customHeight="1" x14ac:dyDescent="0.25">
      <c r="A20" s="87" t="s">
        <v>732</v>
      </c>
      <c r="B20" s="169"/>
      <c r="C20" s="134"/>
      <c r="D20" s="46"/>
      <c r="E20" s="44"/>
      <c r="F20" s="44"/>
      <c r="G20" s="44"/>
      <c r="H20" s="44"/>
      <c r="I20" s="44"/>
      <c r="J20" s="44"/>
      <c r="K20" s="144"/>
    </row>
    <row r="21" spans="1:11" ht="12.75" customHeight="1" x14ac:dyDescent="0.25">
      <c r="A21" s="87" t="s">
        <v>910</v>
      </c>
      <c r="B21" s="169"/>
      <c r="C21" s="134"/>
      <c r="D21" s="46"/>
      <c r="E21" s="44"/>
      <c r="F21" s="44"/>
      <c r="G21" s="44"/>
      <c r="H21" s="44"/>
      <c r="I21" s="44"/>
      <c r="J21" s="44"/>
      <c r="K21" s="144"/>
    </row>
    <row r="22" spans="1:11" ht="12.75" customHeight="1" x14ac:dyDescent="0.25">
      <c r="A22" s="86" t="s">
        <v>937</v>
      </c>
      <c r="B22" s="169"/>
      <c r="C22" s="749">
        <v>676890</v>
      </c>
      <c r="D22" s="746">
        <v>2500000</v>
      </c>
      <c r="E22" s="746">
        <v>2500000</v>
      </c>
      <c r="F22" s="734"/>
      <c r="G22" s="734"/>
      <c r="H22" s="734"/>
      <c r="I22" s="44">
        <f>G22-H22</f>
        <v>0</v>
      </c>
      <c r="J22" s="330" t="str">
        <f t="shared" ref="J22:J28" si="3">IF(I22=0,"",I22/H22)</f>
        <v/>
      </c>
      <c r="K22" s="736">
        <v>2500000</v>
      </c>
    </row>
    <row r="23" spans="1:11" ht="12.75" customHeight="1" x14ac:dyDescent="0.25">
      <c r="A23" s="39" t="s">
        <v>446</v>
      </c>
      <c r="B23" s="169"/>
      <c r="C23" s="749"/>
      <c r="D23" s="746"/>
      <c r="E23" s="734"/>
      <c r="F23" s="734"/>
      <c r="G23" s="734"/>
      <c r="H23" s="734"/>
      <c r="I23" s="44">
        <f>G23-H23</f>
        <v>0</v>
      </c>
      <c r="J23" s="330" t="str">
        <f t="shared" si="3"/>
        <v/>
      </c>
      <c r="K23" s="736"/>
    </row>
    <row r="24" spans="1:11" ht="12.75" customHeight="1" x14ac:dyDescent="0.25">
      <c r="A24" s="39" t="s">
        <v>901</v>
      </c>
      <c r="B24" s="175"/>
      <c r="C24" s="749"/>
      <c r="D24" s="746"/>
      <c r="E24" s="734"/>
      <c r="F24" s="734"/>
      <c r="G24" s="734"/>
      <c r="H24" s="734"/>
      <c r="I24" s="44">
        <f>G24-H24</f>
        <v>0</v>
      </c>
      <c r="J24" s="330" t="str">
        <f t="shared" si="3"/>
        <v/>
      </c>
      <c r="K24" s="736"/>
    </row>
    <row r="25" spans="1:11" ht="12.75" customHeight="1" x14ac:dyDescent="0.25">
      <c r="A25" s="39" t="s">
        <v>902</v>
      </c>
      <c r="B25" s="169"/>
      <c r="C25" s="749">
        <v>-4367443</v>
      </c>
      <c r="D25" s="746">
        <v>-3711461.1530999988</v>
      </c>
      <c r="E25" s="746">
        <v>-4211461.1530999988</v>
      </c>
      <c r="F25" s="734">
        <v>0</v>
      </c>
      <c r="G25" s="734">
        <v>-860000</v>
      </c>
      <c r="H25" s="734"/>
      <c r="I25" s="44">
        <f>G25-H25</f>
        <v>-860000</v>
      </c>
      <c r="J25" s="330" t="e">
        <f t="shared" si="3"/>
        <v>#DIV/0!</v>
      </c>
      <c r="K25" s="736">
        <v>-3711461.1530999988</v>
      </c>
    </row>
    <row r="26" spans="1:11" ht="12.75" customHeight="1" x14ac:dyDescent="0.25">
      <c r="A26" s="87" t="s">
        <v>911</v>
      </c>
      <c r="B26" s="169"/>
      <c r="C26" s="134"/>
      <c r="D26" s="46"/>
      <c r="E26" s="44"/>
      <c r="F26" s="44"/>
      <c r="G26" s="44"/>
      <c r="H26" s="44"/>
      <c r="I26" s="44"/>
      <c r="J26" s="44"/>
      <c r="K26" s="144"/>
    </row>
    <row r="27" spans="1:11" ht="12.75" customHeight="1" x14ac:dyDescent="0.25">
      <c r="A27" s="39" t="s">
        <v>708</v>
      </c>
      <c r="B27" s="169"/>
      <c r="C27" s="749">
        <v>-167957648</v>
      </c>
      <c r="D27" s="746">
        <v>-137084850</v>
      </c>
      <c r="E27" s="746">
        <v>-142967850</v>
      </c>
      <c r="F27" s="734">
        <v>-4790238.71</v>
      </c>
      <c r="G27" s="734">
        <v>-34591330.100000001</v>
      </c>
      <c r="H27" s="734">
        <v>-16271963.646883801</v>
      </c>
      <c r="I27" s="44">
        <f>H27-G27</f>
        <v>18319366.453116201</v>
      </c>
      <c r="J27" s="330">
        <f t="shared" si="3"/>
        <v>-1.1258239540514516</v>
      </c>
      <c r="K27" s="736">
        <v>-137084850</v>
      </c>
    </row>
    <row r="28" spans="1:11" ht="12.75" customHeight="1" x14ac:dyDescent="0.25">
      <c r="A28" s="92" t="s">
        <v>904</v>
      </c>
      <c r="B28" s="233"/>
      <c r="C28" s="546">
        <f t="shared" ref="C28:H28" si="4">SUM(C22:C25)+C27</f>
        <v>-171648201</v>
      </c>
      <c r="D28" s="74">
        <f>SUM(D22:D25)+D27</f>
        <v>-138296311.15310001</v>
      </c>
      <c r="E28" s="73">
        <f t="shared" si="4"/>
        <v>-144679311.15310001</v>
      </c>
      <c r="F28" s="73">
        <f t="shared" si="4"/>
        <v>-4790238.71</v>
      </c>
      <c r="G28" s="73">
        <f t="shared" si="4"/>
        <v>-35451330.100000001</v>
      </c>
      <c r="H28" s="73">
        <f t="shared" si="4"/>
        <v>-16271963.646883801</v>
      </c>
      <c r="I28" s="73">
        <f>H28-G28</f>
        <v>19179366.453116201</v>
      </c>
      <c r="J28" s="331">
        <f t="shared" si="3"/>
        <v>-1.1786755962172513</v>
      </c>
      <c r="K28" s="145">
        <f>SUM(K22:K25)+K27</f>
        <v>-138296311.15310001</v>
      </c>
    </row>
    <row r="29" spans="1:11" ht="5.0999999999999996" customHeight="1" x14ac:dyDescent="0.25">
      <c r="A29" s="42"/>
      <c r="B29" s="169"/>
      <c r="C29" s="134"/>
      <c r="D29" s="46"/>
      <c r="E29" s="44"/>
      <c r="F29" s="44"/>
      <c r="G29" s="44"/>
      <c r="H29" s="44"/>
      <c r="I29" s="44"/>
      <c r="J29" s="44"/>
      <c r="K29" s="144"/>
    </row>
    <row r="30" spans="1:11" ht="12.75" customHeight="1" x14ac:dyDescent="0.25">
      <c r="A30" s="87" t="s">
        <v>754</v>
      </c>
      <c r="B30" s="169"/>
      <c r="C30" s="134"/>
      <c r="D30" s="46"/>
      <c r="E30" s="44"/>
      <c r="F30" s="44"/>
      <c r="G30" s="44"/>
      <c r="H30" s="44"/>
      <c r="I30" s="44"/>
      <c r="J30" s="44"/>
      <c r="K30" s="144"/>
    </row>
    <row r="31" spans="1:11" ht="12.75" customHeight="1" x14ac:dyDescent="0.25">
      <c r="A31" s="87" t="s">
        <v>910</v>
      </c>
      <c r="B31" s="169"/>
      <c r="C31" s="134"/>
      <c r="D31" s="46"/>
      <c r="E31" s="44"/>
      <c r="F31" s="44"/>
      <c r="G31" s="44"/>
      <c r="H31" s="44"/>
      <c r="I31" s="44"/>
      <c r="J31" s="44"/>
      <c r="K31" s="144"/>
    </row>
    <row r="32" spans="1:11" ht="12.75" customHeight="1" x14ac:dyDescent="0.25">
      <c r="A32" s="39" t="s">
        <v>914</v>
      </c>
      <c r="B32" s="169"/>
      <c r="C32" s="749"/>
      <c r="D32" s="746"/>
      <c r="E32" s="734"/>
      <c r="F32" s="734"/>
      <c r="G32" s="734"/>
      <c r="H32" s="734"/>
      <c r="I32" s="44">
        <f>G32-H32</f>
        <v>0</v>
      </c>
      <c r="J32" s="330" t="str">
        <f t="shared" ref="J32:J37" si="5">IF(I32=0,"",I32/H32)</f>
        <v/>
      </c>
      <c r="K32" s="736"/>
    </row>
    <row r="33" spans="1:11" ht="12.75" customHeight="1" x14ac:dyDescent="0.25">
      <c r="A33" s="39" t="s">
        <v>973</v>
      </c>
      <c r="B33" s="169"/>
      <c r="C33" s="749">
        <v>40000000</v>
      </c>
      <c r="D33" s="746">
        <v>20000000</v>
      </c>
      <c r="E33" s="746">
        <v>20000000</v>
      </c>
      <c r="F33" s="734">
        <v>19947068</v>
      </c>
      <c r="G33" s="734">
        <v>19947068</v>
      </c>
      <c r="H33" s="734"/>
      <c r="I33" s="44">
        <f>G33-H33</f>
        <v>19947068</v>
      </c>
      <c r="J33" s="330" t="e">
        <f t="shared" si="5"/>
        <v>#DIV/0!</v>
      </c>
      <c r="K33" s="736">
        <v>20000000</v>
      </c>
    </row>
    <row r="34" spans="1:11" ht="12.75" customHeight="1" x14ac:dyDescent="0.25">
      <c r="A34" s="39" t="s">
        <v>70</v>
      </c>
      <c r="B34" s="169"/>
      <c r="C34" s="749"/>
      <c r="D34" s="746">
        <v>1100000</v>
      </c>
      <c r="E34" s="746">
        <v>1100000</v>
      </c>
      <c r="F34" s="734">
        <v>8580</v>
      </c>
      <c r="G34" s="734">
        <v>30435</v>
      </c>
      <c r="H34" s="734">
        <v>283106.06483982538</v>
      </c>
      <c r="I34" s="44">
        <f>G34-H34</f>
        <v>-252671.06483982538</v>
      </c>
      <c r="J34" s="330">
        <f t="shared" si="5"/>
        <v>-0.89249612148994617</v>
      </c>
      <c r="K34" s="736">
        <v>1100000</v>
      </c>
    </row>
    <row r="35" spans="1:11" ht="12.75" customHeight="1" x14ac:dyDescent="0.25">
      <c r="A35" s="87" t="s">
        <v>911</v>
      </c>
      <c r="B35" s="169"/>
      <c r="C35" s="134"/>
      <c r="D35" s="46"/>
      <c r="E35" s="44"/>
      <c r="F35" s="44"/>
      <c r="G35" s="44"/>
      <c r="H35" s="44"/>
      <c r="I35" s="44"/>
      <c r="J35" s="330" t="str">
        <f t="shared" si="5"/>
        <v/>
      </c>
      <c r="K35" s="144"/>
    </row>
    <row r="36" spans="1:11" ht="12.75" customHeight="1" x14ac:dyDescent="0.25">
      <c r="A36" s="39" t="s">
        <v>913</v>
      </c>
      <c r="B36" s="169"/>
      <c r="C36" s="749">
        <v>-5636315</v>
      </c>
      <c r="D36" s="746">
        <v>-25315227.710000001</v>
      </c>
      <c r="E36" s="746">
        <v>-25315227.710000001</v>
      </c>
      <c r="F36" s="734">
        <v>-15147561</v>
      </c>
      <c r="G36" s="734">
        <v>-15596355.810000001</v>
      </c>
      <c r="H36" s="734">
        <v>-1165377.8294546001</v>
      </c>
      <c r="I36" s="44">
        <f>H36-G36</f>
        <v>14430977.9805454</v>
      </c>
      <c r="J36" s="330">
        <f t="shared" si="5"/>
        <v>-12.383089514667647</v>
      </c>
      <c r="K36" s="736">
        <v>-25315227.710000001</v>
      </c>
    </row>
    <row r="37" spans="1:11" ht="12.75" customHeight="1" x14ac:dyDescent="0.25">
      <c r="A37" s="92" t="s">
        <v>905</v>
      </c>
      <c r="B37" s="233"/>
      <c r="C37" s="546">
        <f t="shared" ref="C37:H37" si="6">SUM(C32:C34)+C36</f>
        <v>34363685</v>
      </c>
      <c r="D37" s="74">
        <f t="shared" si="6"/>
        <v>-4215227.7100000009</v>
      </c>
      <c r="E37" s="73">
        <f t="shared" si="6"/>
        <v>-4215227.7100000009</v>
      </c>
      <c r="F37" s="73">
        <f t="shared" si="6"/>
        <v>4808087</v>
      </c>
      <c r="G37" s="73">
        <f t="shared" si="6"/>
        <v>4381147.1899999995</v>
      </c>
      <c r="H37" s="73">
        <f t="shared" si="6"/>
        <v>-882271.76461477473</v>
      </c>
      <c r="I37" s="73">
        <f>H37-G37</f>
        <v>-5263418.9546147743</v>
      </c>
      <c r="J37" s="331">
        <f t="shared" si="5"/>
        <v>5.9657569988232986</v>
      </c>
      <c r="K37" s="145">
        <f>SUM(K32:K34)+K36</f>
        <v>-4215227.7100000009</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915</v>
      </c>
      <c r="B39" s="169"/>
      <c r="C39" s="109">
        <f t="shared" ref="C39:H39" si="7">C18+C28+C37</f>
        <v>34542345.680000067</v>
      </c>
      <c r="D39" s="51">
        <f t="shared" si="7"/>
        <v>-4216622.2330999002</v>
      </c>
      <c r="E39" s="50">
        <f t="shared" si="7"/>
        <v>42830641.7669001</v>
      </c>
      <c r="F39" s="50">
        <f t="shared" si="7"/>
        <v>-6104885.1499999985</v>
      </c>
      <c r="G39" s="50">
        <f t="shared" si="7"/>
        <v>-15684383.012485301</v>
      </c>
      <c r="H39" s="50">
        <f t="shared" si="7"/>
        <v>42592160.200965077</v>
      </c>
      <c r="I39" s="327"/>
      <c r="J39" s="327"/>
      <c r="K39" s="194">
        <f>K18+K28+K37</f>
        <v>-4216622.2330999002</v>
      </c>
    </row>
    <row r="40" spans="1:11" ht="12.75" customHeight="1" x14ac:dyDescent="0.25">
      <c r="A40" s="39" t="s">
        <v>512</v>
      </c>
      <c r="B40" s="169"/>
      <c r="C40" s="749">
        <v>7490665</v>
      </c>
      <c r="D40" s="746">
        <v>11457490</v>
      </c>
      <c r="E40" s="746">
        <v>42033011</v>
      </c>
      <c r="F40" s="273"/>
      <c r="G40" s="734">
        <v>42033011</v>
      </c>
      <c r="H40" s="44">
        <f>IF(E40=0, D40, E40)</f>
        <v>42033011</v>
      </c>
      <c r="I40" s="273"/>
      <c r="J40" s="273"/>
      <c r="K40" s="385">
        <f>G40</f>
        <v>42033011</v>
      </c>
    </row>
    <row r="41" spans="1:11" ht="12.75" customHeight="1" x14ac:dyDescent="0.25">
      <c r="A41" s="129" t="s">
        <v>55</v>
      </c>
      <c r="B41" s="119"/>
      <c r="C41" s="225">
        <f>C39+C40</f>
        <v>42033010.680000067</v>
      </c>
      <c r="D41" s="116">
        <f>D39+D40</f>
        <v>7240867.7669000998</v>
      </c>
      <c r="E41" s="115">
        <f>E39+E40</f>
        <v>84863652.766900092</v>
      </c>
      <c r="F41" s="274"/>
      <c r="G41" s="115">
        <f>G39+G40</f>
        <v>26348627.987514697</v>
      </c>
      <c r="H41" s="115">
        <f>H39+H40</f>
        <v>84625171.200965077</v>
      </c>
      <c r="I41" s="274"/>
      <c r="J41" s="274"/>
      <c r="K41" s="190">
        <f>K39+K40</f>
        <v>37816388.7669001</v>
      </c>
    </row>
    <row r="42" spans="1:11" ht="11.25" customHeight="1" x14ac:dyDescent="0.25">
      <c r="A42" s="57" t="s">
        <v>655</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5"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5" activePane="bottomRight" state="frozen"/>
      <selection pane="topRight"/>
      <selection pane="bottomLeft"/>
      <selection pane="bottomRight" activeCell="E19" sqref="E19"/>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5" t="str">
        <f>muni&amp; " - "&amp;S71G&amp; " - "&amp;date</f>
        <v>LIM333 Greater Tzaneen - Supporting Table SC1 Material variance explanations  - M06 December</v>
      </c>
      <c r="B1" s="1035"/>
      <c r="C1" s="1035"/>
      <c r="D1" s="1035"/>
      <c r="E1" s="1035"/>
    </row>
    <row r="2" spans="1:5" x14ac:dyDescent="0.25">
      <c r="A2" s="1017" t="str">
        <f>head27</f>
        <v>Ref</v>
      </c>
      <c r="B2" s="1024" t="str">
        <f>desc</f>
        <v>Description</v>
      </c>
      <c r="C2" s="269"/>
      <c r="D2" s="269"/>
      <c r="E2" s="275"/>
    </row>
    <row r="3" spans="1:5" x14ac:dyDescent="0.25">
      <c r="A3" s="1028"/>
      <c r="B3" s="1025"/>
      <c r="C3" s="159" t="s">
        <v>444</v>
      </c>
      <c r="D3" s="159" t="s">
        <v>504</v>
      </c>
      <c r="E3" s="28" t="s">
        <v>505</v>
      </c>
    </row>
    <row r="4" spans="1:5" x14ac:dyDescent="0.25">
      <c r="A4" s="119"/>
      <c r="B4" s="34" t="s">
        <v>676</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1571</v>
      </c>
      <c r="C6" s="749">
        <v>12.91</v>
      </c>
      <c r="D6" s="759" t="s">
        <v>1572</v>
      </c>
      <c r="E6" s="759" t="s">
        <v>1573</v>
      </c>
    </row>
    <row r="7" spans="1:5" ht="11.25" customHeight="1" x14ac:dyDescent="0.25">
      <c r="A7" s="169"/>
      <c r="B7" s="759"/>
      <c r="C7" s="749"/>
      <c r="D7" s="759"/>
      <c r="E7" s="759"/>
    </row>
    <row r="8" spans="1:5" ht="11.25" customHeight="1" x14ac:dyDescent="0.25">
      <c r="A8" s="169"/>
      <c r="B8" s="759"/>
      <c r="C8" s="749"/>
      <c r="D8" s="759"/>
      <c r="E8" s="759"/>
    </row>
    <row r="9" spans="1:5" ht="11.25" customHeight="1" x14ac:dyDescent="0.25">
      <c r="A9" s="169"/>
      <c r="B9" s="759"/>
      <c r="C9" s="749"/>
      <c r="D9" s="759"/>
      <c r="E9" s="759"/>
    </row>
    <row r="10" spans="1:5" ht="11.25" customHeight="1" x14ac:dyDescent="0.25">
      <c r="A10" s="169">
        <v>2</v>
      </c>
      <c r="B10" s="386" t="str">
        <f>'C4-FinPerf RE'!A24</f>
        <v>Expenditure By Type</v>
      </c>
      <c r="C10" s="387"/>
      <c r="D10" s="387"/>
      <c r="E10" s="387"/>
    </row>
    <row r="11" spans="1:5" ht="11.25" customHeight="1" x14ac:dyDescent="0.25">
      <c r="A11" s="169"/>
      <c r="B11" s="759" t="s">
        <v>1574</v>
      </c>
      <c r="C11" s="749">
        <v>0</v>
      </c>
      <c r="D11" s="759" t="s">
        <v>1575</v>
      </c>
      <c r="E11" s="759" t="s">
        <v>1576</v>
      </c>
    </row>
    <row r="12" spans="1:5" ht="11.25" customHeight="1" x14ac:dyDescent="0.25">
      <c r="A12" s="169"/>
      <c r="B12" s="759" t="s">
        <v>1579</v>
      </c>
      <c r="C12" s="749">
        <v>18.989999999999998</v>
      </c>
      <c r="D12" s="759" t="s">
        <v>1582</v>
      </c>
      <c r="E12" s="759" t="s">
        <v>1573</v>
      </c>
    </row>
    <row r="13" spans="1:5" ht="11.25" customHeight="1" x14ac:dyDescent="0.25">
      <c r="A13" s="169"/>
      <c r="B13" s="759" t="s">
        <v>1580</v>
      </c>
      <c r="C13" s="749">
        <v>21.38</v>
      </c>
      <c r="D13" s="759" t="s">
        <v>1581</v>
      </c>
      <c r="E13" s="759" t="s">
        <v>1583</v>
      </c>
    </row>
    <row r="14" spans="1:5" ht="11.25" customHeight="1" x14ac:dyDescent="0.25">
      <c r="A14" s="169"/>
      <c r="B14" s="759"/>
      <c r="C14" s="749"/>
      <c r="D14" s="759"/>
      <c r="E14" s="759"/>
    </row>
    <row r="15" spans="1:5" ht="11.25" customHeight="1" x14ac:dyDescent="0.25">
      <c r="A15" s="169">
        <v>3</v>
      </c>
      <c r="B15" s="386" t="str">
        <f>RIGHT('C5-Capex'!A40,19)</f>
        <v>Capital Expenditure</v>
      </c>
      <c r="C15" s="387"/>
      <c r="D15" s="387"/>
      <c r="E15" s="387"/>
    </row>
    <row r="16" spans="1:5" ht="11.25" customHeight="1" x14ac:dyDescent="0.25">
      <c r="A16" s="169"/>
      <c r="B16" s="759"/>
      <c r="C16" s="749"/>
      <c r="D16" s="759"/>
      <c r="E16" s="759"/>
    </row>
    <row r="17" spans="1:5" ht="11.25" customHeight="1" x14ac:dyDescent="0.25">
      <c r="A17" s="169"/>
      <c r="B17" s="759"/>
      <c r="C17" s="749"/>
      <c r="D17" s="759"/>
      <c r="E17" s="759"/>
    </row>
    <row r="18" spans="1:5" ht="11.25" customHeight="1" x14ac:dyDescent="0.25">
      <c r="A18" s="169"/>
      <c r="B18" s="759"/>
      <c r="C18" s="749"/>
      <c r="D18" s="759"/>
      <c r="E18" s="759"/>
    </row>
    <row r="19" spans="1:5" ht="11.25" customHeight="1" x14ac:dyDescent="0.25">
      <c r="A19" s="169"/>
      <c r="B19" s="759"/>
      <c r="C19" s="749"/>
      <c r="D19" s="759"/>
      <c r="E19" s="759"/>
    </row>
    <row r="20" spans="1:5" ht="11.25" customHeight="1" x14ac:dyDescent="0.25">
      <c r="A20" s="169">
        <v>4</v>
      </c>
      <c r="B20" s="386" t="s">
        <v>83</v>
      </c>
      <c r="C20" s="387"/>
      <c r="D20" s="387"/>
      <c r="E20" s="387"/>
    </row>
    <row r="21" spans="1:5" ht="11.25" customHeight="1" x14ac:dyDescent="0.25">
      <c r="A21" s="169"/>
      <c r="B21" s="759"/>
      <c r="C21" s="749"/>
      <c r="D21" s="759"/>
      <c r="E21" s="759"/>
    </row>
    <row r="22" spans="1:5" ht="11.25" customHeight="1" x14ac:dyDescent="0.25">
      <c r="A22" s="169"/>
      <c r="B22" s="759"/>
      <c r="C22" s="749"/>
      <c r="D22" s="759"/>
      <c r="E22" s="759"/>
    </row>
    <row r="23" spans="1:5" ht="11.25" customHeight="1" x14ac:dyDescent="0.25">
      <c r="A23" s="169"/>
      <c r="B23" s="759"/>
      <c r="C23" s="749"/>
      <c r="D23" s="759"/>
      <c r="E23" s="759"/>
    </row>
    <row r="24" spans="1:5" ht="11.25" customHeight="1" x14ac:dyDescent="0.25">
      <c r="A24" s="169"/>
      <c r="B24" s="759"/>
      <c r="C24" s="749"/>
      <c r="D24" s="759"/>
      <c r="E24" s="759"/>
    </row>
    <row r="25" spans="1:5" ht="11.25" customHeight="1" x14ac:dyDescent="0.25">
      <c r="A25" s="169">
        <v>5</v>
      </c>
      <c r="B25" s="386" t="s">
        <v>84</v>
      </c>
      <c r="C25" s="387"/>
      <c r="D25" s="387"/>
      <c r="E25" s="387"/>
    </row>
    <row r="26" spans="1:5" ht="11.25" customHeight="1" x14ac:dyDescent="0.25">
      <c r="A26" s="169"/>
      <c r="B26" s="759"/>
      <c r="C26" s="749"/>
      <c r="D26" s="759"/>
      <c r="E26" s="759"/>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6</v>
      </c>
      <c r="B30" s="386" t="s">
        <v>85</v>
      </c>
      <c r="C30" s="388"/>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7</v>
      </c>
      <c r="B35" s="386" t="s">
        <v>86</v>
      </c>
      <c r="C35" s="388"/>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19"/>
      <c r="B40" s="760"/>
      <c r="C40" s="761"/>
      <c r="D40" s="760"/>
      <c r="E40" s="760"/>
    </row>
    <row r="41" spans="1:5" ht="11.25" customHeight="1" x14ac:dyDescent="0.25">
      <c r="A41" s="78" t="str">
        <f>head27a</f>
        <v>References</v>
      </c>
      <c r="B41" s="67"/>
      <c r="C41" s="67"/>
      <c r="D41" s="67"/>
      <c r="E41" s="67"/>
    </row>
    <row r="42" spans="1:5" ht="11.25" customHeight="1" x14ac:dyDescent="0.25">
      <c r="A42" s="33" t="s">
        <v>867</v>
      </c>
    </row>
    <row r="43" spans="1:5" ht="11.25" customHeight="1" x14ac:dyDescent="0.25">
      <c r="A43" s="33" t="s">
        <v>868</v>
      </c>
    </row>
    <row r="44" spans="1:5" ht="11.25" customHeight="1" x14ac:dyDescent="0.25">
      <c r="A44" s="33" t="s">
        <v>869</v>
      </c>
    </row>
    <row r="45" spans="1:5" ht="11.25" customHeight="1" x14ac:dyDescent="0.25">
      <c r="A45" s="33" t="s">
        <v>870</v>
      </c>
    </row>
    <row r="46" spans="1:5" ht="11.25" customHeight="1" x14ac:dyDescent="0.25">
      <c r="A46" s="33" t="s">
        <v>871</v>
      </c>
    </row>
    <row r="47" spans="1:5" ht="11.25" customHeight="1" x14ac:dyDescent="0.25">
      <c r="A47" s="33" t="s">
        <v>445</v>
      </c>
    </row>
  </sheetData>
  <sheetProtection sheet="1" objects="1" scenarios="1"/>
  <mergeCells count="3">
    <mergeCell ref="A2:A3"/>
    <mergeCell ref="B2:B3"/>
    <mergeCell ref="A1:E1"/>
  </mergeCells>
  <phoneticPr fontId="5"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38" activePane="bottomRight" state="frozen"/>
      <selection pane="topRight"/>
      <selection pane="bottomLeft"/>
      <selection pane="bottomRight" activeCell="J43" sqref="J43"/>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5" t="str">
        <f>muni&amp; " - "&amp;S71H&amp; " - "&amp;Head57</f>
        <v>LIM333 Greater Tzaneen - Supporting Table SC2 Monthly Budget Statement - performance indicators   - M06 December</v>
      </c>
      <c r="B1" s="1035"/>
      <c r="C1" s="1035"/>
      <c r="D1" s="1035"/>
      <c r="E1" s="1035"/>
      <c r="F1" s="1035"/>
      <c r="G1" s="1035"/>
      <c r="H1" s="1035"/>
    </row>
    <row r="2" spans="1:11" ht="12.75" x14ac:dyDescent="0.25">
      <c r="A2" s="1040" t="s">
        <v>563</v>
      </c>
      <c r="B2" s="1024" t="s">
        <v>783</v>
      </c>
      <c r="C2" s="1017" t="str">
        <f>head27</f>
        <v>Ref</v>
      </c>
      <c r="D2" s="138" t="str">
        <f>Head1</f>
        <v>2018/19</v>
      </c>
      <c r="E2" s="245" t="str">
        <f>Head2</f>
        <v>Budget Year 2019/20</v>
      </c>
      <c r="F2" s="229"/>
      <c r="G2" s="229"/>
      <c r="H2" s="230"/>
    </row>
    <row r="3" spans="1:11" ht="25.5" x14ac:dyDescent="0.25">
      <c r="A3" s="1041"/>
      <c r="B3" s="1025"/>
      <c r="C3" s="1028"/>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831</v>
      </c>
      <c r="B7" s="123" t="s">
        <v>87</v>
      </c>
      <c r="C7" s="174"/>
      <c r="D7" s="120">
        <f>IF(ISERROR((D42-D43)/D45),0,((D42-D43)/D45))</f>
        <v>5.2274284514400625E-3</v>
      </c>
      <c r="E7" s="282">
        <f>IF(ISERROR((E42+E44)/E45),0,((E42+E44)/E45))</f>
        <v>0.11329261683653791</v>
      </c>
      <c r="F7" s="124">
        <f>IF(ISERROR((F42+F44)/F45),0,((F42+F44)/F45))</f>
        <v>0.11774761170999312</v>
      </c>
      <c r="G7" s="124">
        <f>IF(ISERROR((G42+G44)/G45),0,((G42+G44)/G45))</f>
        <v>1.4659978843766984E-2</v>
      </c>
      <c r="H7" s="276">
        <f>IF(ISERROR((H42+H44)/H45),0,((H42+H44)/H45))</f>
        <v>3.3203094077079935E-2</v>
      </c>
    </row>
    <row r="8" spans="1:11" ht="30" customHeight="1" x14ac:dyDescent="0.25">
      <c r="A8" s="126" t="s">
        <v>1065</v>
      </c>
      <c r="B8" s="123" t="s">
        <v>66</v>
      </c>
      <c r="C8" s="174"/>
      <c r="D8" s="120">
        <f>IF(ISERROR(D47/D46),0,(D47/D46))</f>
        <v>0.20210632065591339</v>
      </c>
      <c r="E8" s="282">
        <f>IF(ISERROR(E47/E46),0,(E47/E46))</f>
        <v>0.14013467643078381</v>
      </c>
      <c r="F8" s="124">
        <f>IF(ISERROR(F47/F46),0,(F47/F46))</f>
        <v>0.14013467643078381</v>
      </c>
      <c r="G8" s="124">
        <f>IF(ISERROR(G47/G46),0,(G47/G46))</f>
        <v>0.27104436537148879</v>
      </c>
      <c r="H8" s="276">
        <f>IF(ISERROR(H47/H46),0,(H47/H46))</f>
        <v>0.14013467643078381</v>
      </c>
      <c r="J8" s="341"/>
    </row>
    <row r="9" spans="1:11" ht="12.75" customHeight="1" x14ac:dyDescent="0.25">
      <c r="A9" s="127" t="s">
        <v>747</v>
      </c>
      <c r="B9" s="123"/>
      <c r="C9" s="174"/>
      <c r="D9" s="120"/>
      <c r="E9" s="282"/>
      <c r="F9" s="124"/>
      <c r="G9" s="124"/>
      <c r="H9" s="276"/>
    </row>
    <row r="10" spans="1:11" ht="25.5" x14ac:dyDescent="0.25">
      <c r="A10" s="126" t="s">
        <v>7</v>
      </c>
      <c r="B10" s="123" t="s">
        <v>975</v>
      </c>
      <c r="C10" s="174"/>
      <c r="D10" s="120">
        <f>IF(ISERROR(D48/D49),0,(D48/D49))</f>
        <v>0.25672588326782525</v>
      </c>
      <c r="E10" s="282">
        <f>IF(ISERROR(E48/E49),0,(E48/E49))</f>
        <v>0.20192836515333984</v>
      </c>
      <c r="F10" s="124">
        <f>IF(ISERROR(F48/F49),0,(F48/F49))</f>
        <v>0.19373599605236283</v>
      </c>
      <c r="G10" s="124">
        <f>IF(ISERROR(G48/G49),0,(G48/G49))</f>
        <v>0</v>
      </c>
      <c r="H10" s="276">
        <f>IF(ISERROR(H48/H49),0,(H48/H49))</f>
        <v>0.20192836515333984</v>
      </c>
    </row>
    <row r="11" spans="1:11" ht="12.75" customHeight="1" x14ac:dyDescent="0.25">
      <c r="A11" s="126" t="s">
        <v>746</v>
      </c>
      <c r="B11" s="123" t="s">
        <v>730</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748</v>
      </c>
      <c r="B12" s="123"/>
      <c r="C12" s="174"/>
      <c r="D12" s="120"/>
      <c r="E12" s="282"/>
      <c r="F12" s="124"/>
      <c r="G12" s="124"/>
      <c r="H12" s="276"/>
    </row>
    <row r="13" spans="1:11" ht="12.75" customHeight="1" x14ac:dyDescent="0.25">
      <c r="A13" s="126" t="s">
        <v>1066</v>
      </c>
      <c r="B13" s="123" t="s">
        <v>547</v>
      </c>
      <c r="C13" s="169">
        <v>1</v>
      </c>
      <c r="D13" s="120">
        <f>IF(ISERROR(D52/D53),0,(D52/D53))</f>
        <v>1.3824011734146275</v>
      </c>
      <c r="E13" s="282">
        <f>IF(ISERROR(E52/E53),0,(E52/E53))</f>
        <v>1.6245251912757002</v>
      </c>
      <c r="F13" s="124">
        <f>IF(ISERROR(F52/F53),0,(F52/F53))</f>
        <v>1.8950908553018173</v>
      </c>
      <c r="G13" s="124">
        <f>IF(ISERROR(G52/G53),0,(G52/G53))</f>
        <v>0</v>
      </c>
      <c r="H13" s="276">
        <f>IF(ISERROR(H52/H53),0,(H52/H53))</f>
        <v>1.6245251912757002</v>
      </c>
    </row>
    <row r="14" spans="1:11" ht="12.75" customHeight="1" x14ac:dyDescent="0.25">
      <c r="A14" s="126" t="s">
        <v>749</v>
      </c>
      <c r="B14" s="123" t="s">
        <v>442</v>
      </c>
      <c r="C14" s="174"/>
      <c r="D14" s="120">
        <f>IF(ISERROR(D54/D53),0,(D54/D53))</f>
        <v>0.12874780195646007</v>
      </c>
      <c r="E14" s="282">
        <f>IF(ISERROR(E54/E53),0,(E54/E53))</f>
        <v>2.5239152919704608E-2</v>
      </c>
      <c r="F14" s="124">
        <f>IF(ISERROR(F54/F53),0,(F54/F53))</f>
        <v>0.29580692410653697</v>
      </c>
      <c r="G14" s="124">
        <f>IF(ISERROR(G54/G53),0,(G54/G53))</f>
        <v>0</v>
      </c>
      <c r="H14" s="276">
        <f>IF(ISERROR(H54/H53),0,(H54/H53))</f>
        <v>2.5239152919704608E-2</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649</v>
      </c>
      <c r="C17" s="174"/>
      <c r="D17" s="120">
        <f>IF(ISERROR(D59/D55),0,(D59/D55))</f>
        <v>0.36926342753413138</v>
      </c>
      <c r="E17" s="282">
        <f>IF(ISERROR(E59/E55),0,(E59/E55))</f>
        <v>0.34473763108955124</v>
      </c>
      <c r="F17" s="124">
        <f>IF(ISERROR(F59/F55),0,(F59/F55))</f>
        <v>0.34636387829525617</v>
      </c>
      <c r="G17" s="124">
        <f>IF(ISERROR(G59/G55),0,(G59/G55))</f>
        <v>0</v>
      </c>
      <c r="H17" s="276">
        <f>IF(ISERROR(H59/H55),0,(H59/H55))</f>
        <v>0.34473763108955124</v>
      </c>
    </row>
    <row r="18" spans="1:8" ht="25.5" x14ac:dyDescent="0.25">
      <c r="A18" s="126" t="s">
        <v>1067</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803</v>
      </c>
      <c r="C20" s="174"/>
      <c r="D20" s="762">
        <v>0.98</v>
      </c>
      <c r="E20" s="763">
        <v>0.98</v>
      </c>
      <c r="F20" s="764">
        <v>0.98</v>
      </c>
      <c r="G20" s="764">
        <v>0.98</v>
      </c>
      <c r="H20" s="765">
        <v>0.98</v>
      </c>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v>0.20619999999999999</v>
      </c>
      <c r="E24" s="763">
        <v>0.1817</v>
      </c>
      <c r="F24" s="763">
        <v>0.1817</v>
      </c>
      <c r="G24" s="763">
        <v>0.1817</v>
      </c>
      <c r="H24" s="763">
        <v>0.1817</v>
      </c>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768</v>
      </c>
      <c r="C26" s="174"/>
      <c r="D26" s="120">
        <f>IF(ISERROR(D40/D55),0,(D40/D55))</f>
        <v>0.27873082737112642</v>
      </c>
      <c r="E26" s="282">
        <f>IF(ISERROR(E40/E55),0,(E40/E55))</f>
        <v>0.2816240863512503</v>
      </c>
      <c r="F26" s="124">
        <f>IF(ISERROR(F40/F55),0,(F40/F55))</f>
        <v>0.25757126248678242</v>
      </c>
      <c r="G26" s="124">
        <f>IF(ISERROR(G40/G55),0,(G40/G55))</f>
        <v>0.21493514403136693</v>
      </c>
      <c r="H26" s="276">
        <f>IF(ISERROR(H40/H55),0,(H40/H55))</f>
        <v>0.2816240863512503</v>
      </c>
    </row>
    <row r="27" spans="1:8" ht="27.75" customHeight="1" x14ac:dyDescent="0.25">
      <c r="A27" s="126" t="s">
        <v>766</v>
      </c>
      <c r="B27" s="123" t="s">
        <v>769</v>
      </c>
      <c r="C27" s="174"/>
      <c r="D27" s="120">
        <f>IF(ISERROR(D41/D55),0,(D41/D55))</f>
        <v>3.9801543440708381E-2</v>
      </c>
      <c r="E27" s="282">
        <f>IF(ISERROR(E41/E55),0,(E41/E55))</f>
        <v>5.6401037025648561E-2</v>
      </c>
      <c r="F27" s="124">
        <f>IF(ISERROR(F41/F55),0,(F41/F55))</f>
        <v>5.6667178584067369E-2</v>
      </c>
      <c r="G27" s="124">
        <f>IF(ISERROR(G41/G55),0,(G41/G55))</f>
        <v>3.1115729947510412E-2</v>
      </c>
      <c r="H27" s="276">
        <f>IF(ISERROR(H41/H55),0,(H41/H55))</f>
        <v>5.6401037025648561E-2</v>
      </c>
    </row>
    <row r="28" spans="1:8" ht="27.75" customHeight="1" x14ac:dyDescent="0.25">
      <c r="A28" s="126" t="s">
        <v>767</v>
      </c>
      <c r="B28" s="123" t="s">
        <v>750</v>
      </c>
      <c r="C28" s="174"/>
      <c r="D28" s="120">
        <f>IF(ISERROR((D42+D44)/D55),0,((D42+D44)/D55))</f>
        <v>0.13188961344389194</v>
      </c>
      <c r="E28" s="282">
        <f>IF(ISERROR((E42+E44)/E55),0,((E42+E44)/E55))</f>
        <v>0.11724300968942394</v>
      </c>
      <c r="F28" s="124">
        <f>IF(ISERROR((F42+F44)/F55),0,((F42+F44)/F55))</f>
        <v>0.11447533837698512</v>
      </c>
      <c r="G28" s="124">
        <f>IF(ISERROR((G42+G44)/G55),0,((G42+G44)/G55))</f>
        <v>1.0085490866150359E-2</v>
      </c>
      <c r="H28" s="276">
        <f>IF(ISERROR((H42+H44)/H55),0,((H42+H44)/H55))</f>
        <v>3.436085059465644E-2</v>
      </c>
    </row>
    <row r="29" spans="1:8" ht="12.75" customHeight="1" x14ac:dyDescent="0.25">
      <c r="A29" s="281" t="s">
        <v>660</v>
      </c>
      <c r="B29" s="128"/>
      <c r="C29" s="283"/>
      <c r="D29" s="120"/>
      <c r="E29" s="282"/>
      <c r="F29" s="124"/>
      <c r="G29" s="124"/>
      <c r="H29" s="276"/>
    </row>
    <row r="30" spans="1:8" ht="27.75" customHeight="1" x14ac:dyDescent="0.25">
      <c r="A30" s="126" t="s">
        <v>661</v>
      </c>
      <c r="B30" s="123" t="s">
        <v>799</v>
      </c>
      <c r="C30" s="174"/>
      <c r="D30" s="983">
        <v>0.18099999999999999</v>
      </c>
      <c r="E30" s="763">
        <v>0.20499999999999999</v>
      </c>
      <c r="F30" s="763">
        <v>0.20499999999999999</v>
      </c>
      <c r="G30" s="764">
        <v>0.1024</v>
      </c>
      <c r="H30" s="763">
        <v>0.20499999999999999</v>
      </c>
    </row>
    <row r="31" spans="1:8" ht="25.5" x14ac:dyDescent="0.25">
      <c r="A31" s="126" t="s">
        <v>804</v>
      </c>
      <c r="B31" s="123" t="s">
        <v>498</v>
      </c>
      <c r="C31" s="174"/>
      <c r="D31" s="983">
        <v>0.68</v>
      </c>
      <c r="E31" s="763">
        <v>0.60299999999999998</v>
      </c>
      <c r="F31" s="763">
        <v>0.60299999999999998</v>
      </c>
      <c r="G31" s="764">
        <v>0.82750000000000001</v>
      </c>
      <c r="H31" s="763">
        <v>0.60299999999999998</v>
      </c>
    </row>
    <row r="32" spans="1:8" ht="25.5" x14ac:dyDescent="0.25">
      <c r="A32" s="277" t="s">
        <v>662</v>
      </c>
      <c r="B32" s="132" t="s">
        <v>452</v>
      </c>
      <c r="C32" s="178"/>
      <c r="D32" s="984">
        <v>2E-3</v>
      </c>
      <c r="E32" s="766">
        <v>0.1</v>
      </c>
      <c r="F32" s="766">
        <v>0.1</v>
      </c>
      <c r="G32" s="767">
        <v>9.4999999999999998E-3</v>
      </c>
      <c r="H32" s="766">
        <v>0.1</v>
      </c>
    </row>
    <row r="33" spans="1:9" ht="12.75" customHeight="1" x14ac:dyDescent="0.25">
      <c r="A33" s="57" t="s">
        <v>655</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909</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110645166</v>
      </c>
      <c r="E38" s="84">
        <f>'C6-FinPos'!D38</f>
        <v>113337810.80647588</v>
      </c>
      <c r="F38" s="84">
        <f>'C6-FinPos'!E38</f>
        <v>113337810.80647588</v>
      </c>
      <c r="G38" s="97">
        <f>'C6-FinPos'!F38</f>
        <v>0</v>
      </c>
      <c r="H38" s="48">
        <v>0</v>
      </c>
    </row>
    <row r="39" spans="1:9" ht="12.75" customHeight="1" x14ac:dyDescent="0.25">
      <c r="A39" s="42" t="s">
        <v>535</v>
      </c>
      <c r="B39" s="67"/>
      <c r="C39" s="67"/>
      <c r="D39" s="84">
        <f>'C6-FinPos'!C26</f>
        <v>2120780295</v>
      </c>
      <c r="E39" s="84">
        <f>'C6-FinPos'!D26</f>
        <v>2322246005.8527002</v>
      </c>
      <c r="F39" s="84">
        <f>'C6-FinPos'!E26</f>
        <v>2399868186.3325</v>
      </c>
      <c r="G39" s="97">
        <f>'C6-FinPos'!F26</f>
        <v>0</v>
      </c>
      <c r="H39" s="48">
        <f>'C6-FinPos'!G26</f>
        <v>2322246005.8527002</v>
      </c>
    </row>
    <row r="40" spans="1:9" ht="12.75" customHeight="1" x14ac:dyDescent="0.25">
      <c r="A40" s="42" t="str">
        <f>'C4-FinPerf RE'!A25</f>
        <v>Employee related costs</v>
      </c>
      <c r="B40" s="67"/>
      <c r="C40" s="67"/>
      <c r="D40" s="84">
        <f>'C4-FinPerf RE'!C25</f>
        <v>295232470.99999994</v>
      </c>
      <c r="E40" s="84">
        <f>'C4-FinPerf RE'!D25</f>
        <v>357557390.95999998</v>
      </c>
      <c r="F40" s="84">
        <f>'C4-FinPerf RE'!E25</f>
        <v>325483419.34999996</v>
      </c>
      <c r="G40" s="97">
        <f>'C4-FinPerf RE'!G25</f>
        <v>157537230.61000007</v>
      </c>
      <c r="H40" s="48">
        <f>'C4-FinPerf RE'!K25</f>
        <v>357557390.95999998</v>
      </c>
    </row>
    <row r="41" spans="1:9" ht="12.75" customHeight="1" x14ac:dyDescent="0.25">
      <c r="A41" s="42" t="str">
        <f>A27</f>
        <v>Repairs &amp; Maintenance</v>
      </c>
      <c r="B41" s="67"/>
      <c r="C41" s="67"/>
      <c r="D41" s="768">
        <v>42157906</v>
      </c>
      <c r="E41" s="768">
        <v>71608248.810000002</v>
      </c>
      <c r="F41" s="768">
        <v>71608248.810000002</v>
      </c>
      <c r="G41" s="768">
        <v>22806349.080000002</v>
      </c>
      <c r="H41" s="768">
        <v>71608248.810000002</v>
      </c>
    </row>
    <row r="42" spans="1:9" ht="12.75" customHeight="1" x14ac:dyDescent="0.25">
      <c r="A42" s="42" t="s">
        <v>536</v>
      </c>
      <c r="B42" s="67"/>
      <c r="C42" s="67"/>
      <c r="D42" s="84">
        <f>'C4-FinPerf RE'!C29</f>
        <v>11973760</v>
      </c>
      <c r="E42" s="84">
        <f>'C4-FinPerf RE'!D29</f>
        <v>14658314</v>
      </c>
      <c r="F42" s="84">
        <f>'C4-FinPerf RE'!E29</f>
        <v>14658314</v>
      </c>
      <c r="G42" s="97">
        <f>'C4-FinPerf RE'!G29</f>
        <v>7392184.7800000003</v>
      </c>
      <c r="H42" s="48">
        <f>'C4-FinPerf RE'!K29</f>
        <v>14658314</v>
      </c>
    </row>
    <row r="43" spans="1:9" ht="12.75" customHeight="1" x14ac:dyDescent="0.25">
      <c r="A43" s="42" t="s">
        <v>88</v>
      </c>
      <c r="B43" s="67"/>
      <c r="C43" s="67"/>
      <c r="D43" s="84">
        <f>-'C7-CFlow'!C36</f>
        <v>5636315</v>
      </c>
      <c r="E43" s="84">
        <f>-'C7-CFlow'!D36</f>
        <v>25315227.710000001</v>
      </c>
      <c r="F43" s="84">
        <f>-'C7-CFlow'!E36</f>
        <v>25315227.710000001</v>
      </c>
      <c r="G43" s="97">
        <f>-'C7-CFlow'!G36</f>
        <v>15596355.810000001</v>
      </c>
      <c r="H43" s="48">
        <f>-'C7-CFlow'!K36</f>
        <v>25315227.710000001</v>
      </c>
    </row>
    <row r="44" spans="1:9" ht="12.75" customHeight="1" x14ac:dyDescent="0.25">
      <c r="A44" s="42" t="s">
        <v>537</v>
      </c>
      <c r="B44" s="67"/>
      <c r="C44" s="67"/>
      <c r="D44" s="84">
        <f>'C4-FinPerf RE'!C28</f>
        <v>127724087</v>
      </c>
      <c r="E44" s="84">
        <f>'C4-FinPerf RE'!D28</f>
        <v>134196513</v>
      </c>
      <c r="F44" s="84">
        <f>'C4-FinPerf RE'!E28</f>
        <v>130000000</v>
      </c>
      <c r="G44" s="97"/>
      <c r="H44" s="48">
        <f>'C4-FinPerf RE'!K26</f>
        <v>28967131</v>
      </c>
    </row>
    <row r="45" spans="1:9" ht="12.75" customHeight="1" x14ac:dyDescent="0.25">
      <c r="A45" s="42" t="s">
        <v>0</v>
      </c>
      <c r="B45" s="67"/>
      <c r="C45" s="67"/>
      <c r="D45" s="84">
        <f>'C4-FinPerf RE'!C36</f>
        <v>1212344666</v>
      </c>
      <c r="E45" s="84">
        <f>'C4-FinPerf RE'!D36</f>
        <v>1313896978.96</v>
      </c>
      <c r="F45" s="84">
        <f>'C4-FinPerf RE'!E36</f>
        <v>1228545631.6199999</v>
      </c>
      <c r="G45" s="97">
        <f>'C4-FinPerf RE'!G36</f>
        <v>504242527.14000005</v>
      </c>
      <c r="H45" s="48">
        <f>'C4-FinPerf RE'!K36</f>
        <v>1313896978.96</v>
      </c>
    </row>
    <row r="46" spans="1:9" ht="12.75" customHeight="1" x14ac:dyDescent="0.25">
      <c r="A46" s="42" t="str">
        <f>'C5-Capex'!A40</f>
        <v>Total Capital Expenditure</v>
      </c>
      <c r="B46" s="67"/>
      <c r="C46" s="67"/>
      <c r="D46" s="84">
        <f>'C5-Capex'!C40</f>
        <v>103447828.51000001</v>
      </c>
      <c r="E46" s="84">
        <f>'C5-Capex'!D40</f>
        <v>142719850</v>
      </c>
      <c r="F46" s="84">
        <f>'C5-Capex'!E40</f>
        <v>142719850</v>
      </c>
      <c r="G46" s="97">
        <f>'C5-Capex'!G40</f>
        <v>74625500.449999988</v>
      </c>
      <c r="H46" s="48">
        <f>'C5-Capex'!K40</f>
        <v>142719850</v>
      </c>
    </row>
    <row r="47" spans="1:9" ht="12.75" customHeight="1" x14ac:dyDescent="0.25">
      <c r="A47" s="42" t="s">
        <v>540</v>
      </c>
      <c r="B47" s="67"/>
      <c r="C47" s="67"/>
      <c r="D47" s="84">
        <f>'C5-Capex'!C72</f>
        <v>20907460</v>
      </c>
      <c r="E47" s="84">
        <f>'C5-Capex'!D72</f>
        <v>20000000</v>
      </c>
      <c r="F47" s="84">
        <f>'C5-Capex'!E72</f>
        <v>20000000</v>
      </c>
      <c r="G47" s="97">
        <f>'C5-Capex'!G72</f>
        <v>20226821.41</v>
      </c>
      <c r="H47" s="48">
        <f>'C5-Capex'!K72</f>
        <v>20000000</v>
      </c>
    </row>
    <row r="48" spans="1:9" ht="12.75" customHeight="1" x14ac:dyDescent="0.25">
      <c r="A48" s="42" t="s">
        <v>538</v>
      </c>
      <c r="B48" s="67"/>
      <c r="C48" s="67"/>
      <c r="D48" s="84">
        <f>'C6-FinPos'!C30+'C6-FinPos'!C31+'C6-FinPos'!C33+'C6-FinPos'!C38</f>
        <v>409104051</v>
      </c>
      <c r="E48" s="84">
        <f>'C6-FinPos'!D30+'C6-FinPos'!D31+'C6-FinPos'!D33+'C6-FinPos'!D38</f>
        <v>370667043.31867504</v>
      </c>
      <c r="F48" s="84">
        <f>'C6-FinPos'!E30+'C6-FinPos'!E31+'C6-FinPos'!E33+'C6-FinPos'!E38</f>
        <v>370667043.31867504</v>
      </c>
      <c r="G48" s="84">
        <f>'C6-FinPos'!F30+'C6-FinPos'!F31+'C6-FinPos'!F33+'C6-FinPos'!F38</f>
        <v>0</v>
      </c>
      <c r="H48" s="48">
        <f>'C6-FinPos'!G30+'C6-FinPos'!G31+'C6-FinPos'!G33+'C6-FinPos'!G38</f>
        <v>370667043.31867504</v>
      </c>
    </row>
    <row r="49" spans="1:8" ht="12.75" customHeight="1" x14ac:dyDescent="0.25">
      <c r="A49" s="42" t="s">
        <v>539</v>
      </c>
      <c r="B49" s="67"/>
      <c r="C49" s="67"/>
      <c r="D49" s="84">
        <f>'C6-FinPos'!C48</f>
        <v>1593544234</v>
      </c>
      <c r="E49" s="84">
        <f>'C6-FinPos'!D48</f>
        <v>1835636330.9196253</v>
      </c>
      <c r="F49" s="84">
        <f>'C6-FinPos'!E48</f>
        <v>1913258510.9196301</v>
      </c>
      <c r="G49" s="97">
        <f>'C6-FinPos'!F48</f>
        <v>0</v>
      </c>
      <c r="H49" s="48">
        <f>'C6-FinPos'!G48</f>
        <v>1835636330.9196253</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110645166</v>
      </c>
      <c r="E51" s="84">
        <f>'C6-FinPos'!D38</f>
        <v>113337810.80647588</v>
      </c>
      <c r="F51" s="84">
        <f>'C6-FinPos'!E38</f>
        <v>113337810.80647588</v>
      </c>
      <c r="G51" s="97">
        <f>'C6-FinPos'!F38</f>
        <v>0</v>
      </c>
      <c r="H51" s="48">
        <f>'C6-FinPos'!G38</f>
        <v>113337810.80647588</v>
      </c>
    </row>
    <row r="52" spans="1:8" ht="12.75" customHeight="1" x14ac:dyDescent="0.25">
      <c r="A52" s="42" t="str">
        <f>'C6-FinPos'!A6</f>
        <v>Current assets</v>
      </c>
      <c r="B52" s="67"/>
      <c r="C52" s="67"/>
      <c r="D52" s="84">
        <f>'C6-FinPos'!C13</f>
        <v>451320200</v>
      </c>
      <c r="E52" s="84">
        <f>'C6-FinPos'!D13</f>
        <v>466057613.20480001</v>
      </c>
      <c r="F52" s="84">
        <f>'C6-FinPos'!E13</f>
        <v>543679793.6846</v>
      </c>
      <c r="G52" s="97">
        <f>'C6-FinPos'!F13</f>
        <v>0</v>
      </c>
      <c r="H52" s="48">
        <f>'C6-FinPos'!G13</f>
        <v>466057613.20480001</v>
      </c>
    </row>
    <row r="53" spans="1:8" ht="12.75" customHeight="1" x14ac:dyDescent="0.25">
      <c r="A53" s="42" t="str">
        <f>'C6-FinPos'!A29</f>
        <v>Current liabilities</v>
      </c>
      <c r="B53" s="67"/>
      <c r="C53" s="67"/>
      <c r="D53" s="84">
        <f>'C6-FinPos'!C35</f>
        <v>326475562</v>
      </c>
      <c r="E53" s="84">
        <f>'C6-FinPos'!D35</f>
        <v>286888510.99859911</v>
      </c>
      <c r="F53" s="84">
        <f>'C6-FinPos'!E35</f>
        <v>286888510.99859911</v>
      </c>
      <c r="G53" s="97">
        <f>'C6-FinPos'!F35</f>
        <v>0</v>
      </c>
      <c r="H53" s="48">
        <f>'C6-FinPos'!G35</f>
        <v>286888510.99859911</v>
      </c>
    </row>
    <row r="54" spans="1:8" ht="12.75" customHeight="1" x14ac:dyDescent="0.25">
      <c r="A54" s="42" t="s">
        <v>541</v>
      </c>
      <c r="B54" s="67"/>
      <c r="C54" s="67"/>
      <c r="D54" s="84">
        <f>'C6-FinPos'!C7+'C6-FinPos'!C8</f>
        <v>42033011</v>
      </c>
      <c r="E54" s="84">
        <f>'C6-FinPos'!D7+'C6-FinPos'!D8</f>
        <v>7240823</v>
      </c>
      <c r="F54" s="84">
        <f>'C6-FinPos'!E7+'C6-FinPos'!E8</f>
        <v>84863608</v>
      </c>
      <c r="G54" s="97">
        <f>'C6-FinPos'!F7+'C6-FinPos'!F8</f>
        <v>0</v>
      </c>
      <c r="H54" s="48">
        <f>'C6-FinPos'!G7+'C6-FinPos'!G8</f>
        <v>7240823</v>
      </c>
    </row>
    <row r="55" spans="1:8" ht="12.75" customHeight="1" x14ac:dyDescent="0.25">
      <c r="A55" s="42" t="str">
        <f>'C4-FinPerf RE'!A22</f>
        <v>Total Revenue (excluding capital transfers and contributions)</v>
      </c>
      <c r="B55" s="67"/>
      <c r="C55" s="67"/>
      <c r="D55" s="84">
        <f>'C4-FinPerf RE'!C22</f>
        <v>1059202793.5500001</v>
      </c>
      <c r="E55" s="84">
        <f>'C4-FinPerf RE'!D22</f>
        <v>1269626457</v>
      </c>
      <c r="F55" s="84">
        <f>'C4-FinPerf RE'!E22</f>
        <v>1263663563.27</v>
      </c>
      <c r="G55" s="97">
        <f>'C4-FinPerf RE'!G22</f>
        <v>732952404.41000009</v>
      </c>
      <c r="H55" s="48">
        <f>'C4-FinPerf RE'!K22</f>
        <v>1269626457</v>
      </c>
    </row>
    <row r="56" spans="1:8" ht="12.75" customHeight="1" x14ac:dyDescent="0.25">
      <c r="A56" s="42" t="str">
        <f>'C4-FinPerf RE'!A19</f>
        <v>Transfers and subsidies</v>
      </c>
      <c r="B56" s="67"/>
      <c r="C56" s="67"/>
      <c r="D56" s="84">
        <f>'C4-FinPerf RE'!C19</f>
        <v>356544299.81</v>
      </c>
      <c r="E56" s="84">
        <f>'C4-FinPerf RE'!D19</f>
        <v>416300150</v>
      </c>
      <c r="F56" s="84">
        <f>'C4-FinPerf RE'!E19</f>
        <v>417337256.26999998</v>
      </c>
      <c r="G56" s="97">
        <f>'C4-FinPerf RE'!G19</f>
        <v>305815000</v>
      </c>
      <c r="H56" s="48">
        <f>'C4-FinPerf RE'!K19</f>
        <v>416300150</v>
      </c>
    </row>
    <row r="57" spans="1:8" ht="12.75" customHeight="1" x14ac:dyDescent="0.25">
      <c r="A57" s="42" t="str">
        <f>'C4-FinPerf RE'!A39</f>
        <v>Transfers and subsidies - capital (monetary allocations) (National / Provincial and District)</v>
      </c>
      <c r="B57" s="67"/>
      <c r="C57" s="67"/>
      <c r="D57" s="84">
        <f>'C4-FinPerf RE'!C39</f>
        <v>76150621.189999998</v>
      </c>
      <c r="E57" s="84">
        <f>'C4-FinPerf RE'!D39</f>
        <v>89549850</v>
      </c>
      <c r="F57" s="84">
        <f>'C4-FinPerf RE'!E39</f>
        <v>89549850</v>
      </c>
      <c r="G57" s="97">
        <f>'C4-FinPerf RE'!G39</f>
        <v>63718000</v>
      </c>
      <c r="H57" s="48">
        <f>'C4-FinPerf RE'!K39</f>
        <v>89549850</v>
      </c>
    </row>
    <row r="58" spans="1:8" ht="12.75" customHeight="1" x14ac:dyDescent="0.25">
      <c r="A58" s="42" t="s">
        <v>453</v>
      </c>
      <c r="B58" s="67"/>
      <c r="C58" s="67"/>
      <c r="D58" s="84">
        <f>'C7-CFlow'!C12+'C7-CFlow'!C36</f>
        <v>3979499</v>
      </c>
      <c r="E58" s="84">
        <f>'C7-CFlow'!D12+'C7-CFlow'!D36</f>
        <v>-10404527.710000001</v>
      </c>
      <c r="F58" s="84">
        <f>'C7-CFlow'!E12+'C7-CFlow'!E36</f>
        <v>-10404527.710000001</v>
      </c>
      <c r="G58" s="97">
        <f>'C7-CFlow'!G16+'C7-CFlow'!G36</f>
        <v>-17952849.80910936</v>
      </c>
      <c r="H58" s="48">
        <f>'C7-CFlow'!K16+'C7-CFlow'!K36</f>
        <v>-39973541.710000001</v>
      </c>
    </row>
    <row r="59" spans="1:8" ht="12.75" customHeight="1" x14ac:dyDescent="0.25">
      <c r="A59" s="42" t="s">
        <v>534</v>
      </c>
      <c r="B59" s="67"/>
      <c r="C59" s="67"/>
      <c r="D59" s="84">
        <f>'C6-FinPos'!C9+'C6-FinPos'!C10+'C6-FinPos'!C11+'C6-FinPos'!C16</f>
        <v>391124854</v>
      </c>
      <c r="E59" s="84">
        <f>'C6-FinPos'!D9+'C6-FinPos'!D10+'C6-FinPos'!D11+'C6-FinPos'!D16</f>
        <v>437688017.1548</v>
      </c>
      <c r="F59" s="84">
        <f>'C6-FinPos'!E9+'C6-FinPos'!E10+'C6-FinPos'!E11+'C6-FinPos'!E16</f>
        <v>437687412.63460004</v>
      </c>
      <c r="G59" s="97">
        <f>'C6-FinPos'!F9+'C6-FinPos'!F10+'C6-FinPos'!F11+'C6-FinPos'!F16</f>
        <v>0</v>
      </c>
      <c r="H59" s="48">
        <f>'C6-FinPos'!G9+'C6-FinPos'!G10+'C6-FinPos'!G11+'C6-FinPos'!G16</f>
        <v>437688017.1548</v>
      </c>
    </row>
    <row r="60" spans="1:8" ht="12.75" customHeight="1" x14ac:dyDescent="0.25">
      <c r="A60" s="42" t="s">
        <v>454</v>
      </c>
      <c r="B60" s="67"/>
      <c r="C60" s="67"/>
      <c r="D60" s="84">
        <f>SUM('C4-FinPerf RE'!C7:C11)</f>
        <v>482916172.95999998</v>
      </c>
      <c r="E60" s="84">
        <f>SUM('C4-FinPerf RE'!D7:D11)</f>
        <v>611052657</v>
      </c>
      <c r="F60" s="84">
        <f>SUM('C4-FinPerf RE'!E7:E11)</f>
        <v>604052657</v>
      </c>
      <c r="G60" s="97">
        <f>SUM('C4-FinPerf RE'!G7:G11)</f>
        <v>311078756.16000003</v>
      </c>
      <c r="H60" s="48"/>
    </row>
    <row r="61" spans="1:8" ht="12.75" customHeight="1" x14ac:dyDescent="0.25">
      <c r="A61" s="42" t="s">
        <v>455</v>
      </c>
      <c r="B61" s="67" t="s">
        <v>456</v>
      </c>
      <c r="C61" s="67"/>
      <c r="D61" s="84">
        <f>'C6-FinPos'!C7+'C6-FinPos'!C8+'C6-FinPos'!C17-'C6-FinPos'!C30</f>
        <v>73558094</v>
      </c>
      <c r="E61" s="84">
        <f>'C6-FinPos'!D7+'C6-FinPos'!D8+'C6-FinPos'!D17-'C6-FinPos'!D30</f>
        <v>41119446.323100001</v>
      </c>
      <c r="F61" s="84">
        <f>'C6-FinPos'!E7+'C6-FinPos'!E8+'C6-FinPos'!E17-'C6-FinPos'!E30</f>
        <v>118742231.3231</v>
      </c>
      <c r="G61" s="97">
        <f>'C6-FinPos'!F7+'C6-FinPos'!F8+'C6-FinPos'!F17-'C6-FinPos'!F30</f>
        <v>0</v>
      </c>
      <c r="H61" s="48">
        <f>'C6-FinPos'!G7+'C6-FinPos'!G8+'C6-FinPos'!G17-'C6-FinPos'!G30</f>
        <v>41119446.323100001</v>
      </c>
    </row>
    <row r="62" spans="1:8" ht="12.75" customHeight="1" x14ac:dyDescent="0.25">
      <c r="A62" s="42" t="s">
        <v>736</v>
      </c>
      <c r="B62" s="67"/>
      <c r="C62" s="67"/>
      <c r="D62" s="768"/>
      <c r="E62" s="768"/>
      <c r="F62" s="768"/>
      <c r="G62" s="768"/>
      <c r="H62" s="769"/>
    </row>
    <row r="63" spans="1:8" ht="12.75" customHeight="1" x14ac:dyDescent="0.25">
      <c r="A63" s="42" t="s">
        <v>791</v>
      </c>
      <c r="B63" s="67"/>
      <c r="C63" s="67"/>
      <c r="D63" s="117">
        <f>'C6-FinPos'!C16</f>
        <v>0</v>
      </c>
      <c r="E63" s="117">
        <f>'C6-FinPos'!D16</f>
        <v>0</v>
      </c>
      <c r="F63" s="117">
        <f>'C6-FinPos'!E16</f>
        <v>0</v>
      </c>
      <c r="G63" s="325">
        <f>'C6-FinPos'!F16</f>
        <v>0</v>
      </c>
      <c r="H63" s="340">
        <f>'C6-FinPos'!G16</f>
        <v>0</v>
      </c>
    </row>
    <row r="64" spans="1:8" ht="12.75" customHeight="1" x14ac:dyDescent="0.25">
      <c r="A64" s="42" t="s">
        <v>735</v>
      </c>
      <c r="B64" s="67"/>
      <c r="C64" s="67"/>
      <c r="D64" s="770"/>
      <c r="E64" s="770"/>
      <c r="F64" s="770"/>
      <c r="G64" s="770"/>
      <c r="H64" s="771"/>
    </row>
    <row r="65" spans="1:8" ht="12.75" customHeight="1" x14ac:dyDescent="0.25">
      <c r="A65" s="91" t="s">
        <v>792</v>
      </c>
      <c r="B65" s="337"/>
      <c r="C65" s="337"/>
      <c r="D65" s="772"/>
      <c r="E65" s="773"/>
      <c r="F65" s="773"/>
      <c r="G65" s="773"/>
      <c r="H65" s="774"/>
    </row>
    <row r="66" spans="1:8" ht="11.25" customHeight="1" x14ac:dyDescent="0.25">
      <c r="G66" s="100"/>
      <c r="H66" s="100"/>
    </row>
  </sheetData>
  <sheetProtection sheet="1" objects="1" scenarios="1"/>
  <mergeCells count="4">
    <mergeCell ref="A2:A3"/>
    <mergeCell ref="B2:B3"/>
    <mergeCell ref="C2:C3"/>
    <mergeCell ref="A1:H1"/>
  </mergeCells>
  <phoneticPr fontId="5"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16" activePane="bottomRight" state="frozen"/>
      <selection pane="topRight"/>
      <selection pane="bottomLeft"/>
      <selection pane="bottomRight" activeCell="I10" sqref="I10"/>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5" t="str">
        <f>muni&amp; " - "&amp;S71I&amp; " - "&amp;Head57</f>
        <v>LIM333 Greater Tzaneen - Supporting Table SC3 Monthly Budget Statement - aged debtors - M06 December</v>
      </c>
      <c r="B1" s="1035"/>
      <c r="C1" s="1042"/>
      <c r="D1" s="1042"/>
      <c r="E1" s="1042"/>
      <c r="F1" s="1042"/>
      <c r="G1" s="1042"/>
      <c r="H1" s="1042"/>
      <c r="I1" s="1042"/>
      <c r="J1" s="1042"/>
      <c r="K1" s="1042"/>
      <c r="L1" s="1042"/>
      <c r="M1" s="1042"/>
      <c r="N1" s="162"/>
      <c r="O1" s="406"/>
    </row>
    <row r="2" spans="1:16" ht="13.35" customHeight="1" x14ac:dyDescent="0.25">
      <c r="A2" s="355" t="str">
        <f>desc</f>
        <v>Description</v>
      </c>
      <c r="B2" s="895"/>
      <c r="C2" s="1043" t="str">
        <f>Head2</f>
        <v>Budget Year 2019/20</v>
      </c>
      <c r="D2" s="1044"/>
      <c r="E2" s="1044"/>
      <c r="F2" s="1044"/>
      <c r="G2" s="1044"/>
      <c r="H2" s="1044"/>
      <c r="I2" s="1044"/>
      <c r="J2" s="1044"/>
      <c r="K2" s="1044"/>
      <c r="L2" s="1044"/>
      <c r="M2" s="1044"/>
      <c r="N2" s="1045"/>
      <c r="O2" s="913"/>
    </row>
    <row r="3" spans="1:16" ht="52.5" customHeight="1" x14ac:dyDescent="0.25">
      <c r="A3" s="902" t="s">
        <v>676</v>
      </c>
      <c r="B3" s="894" t="s">
        <v>745</v>
      </c>
      <c r="C3" s="898" t="s">
        <v>13</v>
      </c>
      <c r="D3" s="899" t="s">
        <v>14</v>
      </c>
      <c r="E3" s="899" t="s">
        <v>15</v>
      </c>
      <c r="F3" s="899" t="s">
        <v>16</v>
      </c>
      <c r="G3" s="899" t="s">
        <v>17</v>
      </c>
      <c r="H3" s="899" t="s">
        <v>18</v>
      </c>
      <c r="I3" s="899" t="s">
        <v>19</v>
      </c>
      <c r="J3" s="900" t="s">
        <v>20</v>
      </c>
      <c r="K3" s="901" t="s">
        <v>56</v>
      </c>
      <c r="L3" s="901" t="s">
        <v>1109</v>
      </c>
      <c r="M3" s="901" t="s">
        <v>1110</v>
      </c>
      <c r="N3" s="901" t="s">
        <v>1097</v>
      </c>
      <c r="O3" s="315"/>
    </row>
    <row r="4" spans="1:16" ht="12.75" x14ac:dyDescent="0.25">
      <c r="A4" s="87" t="s">
        <v>1085</v>
      </c>
      <c r="B4" s="169"/>
      <c r="C4" s="228"/>
      <c r="D4" s="165"/>
      <c r="E4" s="165"/>
      <c r="F4" s="165"/>
      <c r="G4" s="165"/>
      <c r="H4" s="165"/>
      <c r="I4" s="165"/>
      <c r="J4" s="286"/>
      <c r="K4" s="166"/>
      <c r="L4" s="166"/>
      <c r="M4" s="184"/>
      <c r="N4" s="184"/>
      <c r="O4" s="42"/>
    </row>
    <row r="5" spans="1:16" ht="12.75" customHeight="1" x14ac:dyDescent="0.25">
      <c r="A5" s="39" t="s">
        <v>1086</v>
      </c>
      <c r="B5" s="169">
        <v>1200</v>
      </c>
      <c r="C5" s="746"/>
      <c r="D5" s="734"/>
      <c r="E5" s="734"/>
      <c r="F5" s="734"/>
      <c r="G5" s="734"/>
      <c r="H5" s="734"/>
      <c r="I5" s="734"/>
      <c r="J5" s="745"/>
      <c r="K5" s="134">
        <f>SUM(C5:J5)</f>
        <v>0</v>
      </c>
      <c r="L5" s="134">
        <f>SUM(F5:J5)</f>
        <v>0</v>
      </c>
      <c r="M5" s="748"/>
      <c r="N5" s="748"/>
      <c r="O5" s="914"/>
    </row>
    <row r="6" spans="1:16" ht="12.75" customHeight="1" x14ac:dyDescent="0.25">
      <c r="A6" s="39" t="s">
        <v>1088</v>
      </c>
      <c r="B6" s="169">
        <v>1300</v>
      </c>
      <c r="C6" s="734">
        <v>44901140.129999995</v>
      </c>
      <c r="D6" s="734">
        <v>12518246.789999999</v>
      </c>
      <c r="E6" s="734">
        <v>14760206.180000002</v>
      </c>
      <c r="F6" s="734">
        <v>6922519.7300000004</v>
      </c>
      <c r="G6" s="734">
        <v>146588384</v>
      </c>
      <c r="H6" s="734"/>
      <c r="I6" s="734"/>
      <c r="J6" s="745"/>
      <c r="K6" s="134">
        <f>SUM(C6:J6)</f>
        <v>225690496.82999998</v>
      </c>
      <c r="L6" s="134">
        <f t="shared" ref="L6:L12" si="0">SUM(F6:J6)</f>
        <v>153510903.72999999</v>
      </c>
      <c r="M6" s="748"/>
      <c r="N6" s="748"/>
      <c r="O6" s="914"/>
    </row>
    <row r="7" spans="1:16" ht="12.75" customHeight="1" x14ac:dyDescent="0.25">
      <c r="A7" s="39" t="s">
        <v>1087</v>
      </c>
      <c r="B7" s="169">
        <v>1400</v>
      </c>
      <c r="C7" s="734">
        <v>10035884.240000002</v>
      </c>
      <c r="D7" s="734">
        <v>5447365.0300000003</v>
      </c>
      <c r="E7" s="734">
        <v>4529984.0900000008</v>
      </c>
      <c r="F7" s="734">
        <v>4316870.37</v>
      </c>
      <c r="G7" s="734">
        <v>183948085</v>
      </c>
      <c r="H7" s="734"/>
      <c r="I7" s="734"/>
      <c r="J7" s="745"/>
      <c r="K7" s="134">
        <f t="shared" ref="K7:K13" si="1">SUM(C7:J7)</f>
        <v>208278188.73000002</v>
      </c>
      <c r="L7" s="134">
        <f t="shared" si="0"/>
        <v>188264955.37</v>
      </c>
      <c r="M7" s="748"/>
      <c r="N7" s="748"/>
      <c r="O7" s="914"/>
    </row>
    <row r="8" spans="1:16" ht="12.75" customHeight="1" x14ac:dyDescent="0.25">
      <c r="A8" s="39" t="s">
        <v>1089</v>
      </c>
      <c r="B8" s="169">
        <v>1500</v>
      </c>
      <c r="C8" s="734"/>
      <c r="D8" s="734"/>
      <c r="E8" s="734"/>
      <c r="F8" s="734"/>
      <c r="G8" s="734"/>
      <c r="H8" s="734"/>
      <c r="I8" s="734"/>
      <c r="J8" s="745"/>
      <c r="K8" s="134">
        <f t="shared" si="1"/>
        <v>0</v>
      </c>
      <c r="L8" s="134">
        <f t="shared" si="0"/>
        <v>0</v>
      </c>
      <c r="M8" s="748"/>
      <c r="N8" s="748"/>
      <c r="O8" s="914"/>
    </row>
    <row r="9" spans="1:16" ht="12.75" customHeight="1" x14ac:dyDescent="0.25">
      <c r="A9" s="39" t="s">
        <v>1090</v>
      </c>
      <c r="B9" s="169">
        <v>1600</v>
      </c>
      <c r="C9" s="734">
        <v>3541853.2199999997</v>
      </c>
      <c r="D9" s="734">
        <v>2236129.75</v>
      </c>
      <c r="E9" s="734">
        <v>1949015.2</v>
      </c>
      <c r="F9" s="734">
        <v>1534843.65</v>
      </c>
      <c r="G9" s="734">
        <v>78907047</v>
      </c>
      <c r="H9" s="734"/>
      <c r="I9" s="734"/>
      <c r="J9" s="745"/>
      <c r="K9" s="134">
        <f t="shared" si="1"/>
        <v>88168888.819999993</v>
      </c>
      <c r="L9" s="134">
        <f>SUM(F9:J9)</f>
        <v>80441890.650000006</v>
      </c>
      <c r="M9" s="748"/>
      <c r="N9" s="748"/>
      <c r="O9" s="914"/>
    </row>
    <row r="10" spans="1:16" ht="12.75" customHeight="1" x14ac:dyDescent="0.25">
      <c r="A10" s="39" t="s">
        <v>1091</v>
      </c>
      <c r="B10" s="169">
        <v>1700</v>
      </c>
      <c r="C10" s="734">
        <v>0</v>
      </c>
      <c r="D10" s="734">
        <v>0</v>
      </c>
      <c r="E10" s="734">
        <v>0</v>
      </c>
      <c r="F10" s="734">
        <v>0</v>
      </c>
      <c r="G10" s="734">
        <v>0</v>
      </c>
      <c r="H10" s="734"/>
      <c r="I10" s="734"/>
      <c r="J10" s="745"/>
      <c r="K10" s="134">
        <f t="shared" si="1"/>
        <v>0</v>
      </c>
      <c r="L10" s="134">
        <f>SUM(F10:J10)</f>
        <v>0</v>
      </c>
      <c r="M10" s="748"/>
      <c r="N10" s="748"/>
      <c r="O10" s="914"/>
    </row>
    <row r="11" spans="1:16" ht="12.75" customHeight="1" x14ac:dyDescent="0.25">
      <c r="A11" s="39" t="s">
        <v>1092</v>
      </c>
      <c r="B11" s="169">
        <v>1810</v>
      </c>
      <c r="C11" s="734">
        <v>0</v>
      </c>
      <c r="D11" s="734">
        <v>0</v>
      </c>
      <c r="E11" s="734">
        <v>0</v>
      </c>
      <c r="F11" s="734">
        <v>0</v>
      </c>
      <c r="G11" s="734">
        <v>0</v>
      </c>
      <c r="H11" s="734"/>
      <c r="I11" s="734"/>
      <c r="J11" s="745"/>
      <c r="K11" s="134">
        <f t="shared" si="1"/>
        <v>0</v>
      </c>
      <c r="L11" s="134">
        <f t="shared" si="0"/>
        <v>0</v>
      </c>
      <c r="M11" s="748"/>
      <c r="N11" s="748"/>
      <c r="O11" s="914"/>
      <c r="P11" s="96"/>
    </row>
    <row r="12" spans="1:16" ht="12.75" customHeight="1" x14ac:dyDescent="0.25">
      <c r="A12" s="39" t="s">
        <v>1093</v>
      </c>
      <c r="B12" s="169">
        <v>1820</v>
      </c>
      <c r="C12" s="734">
        <v>0</v>
      </c>
      <c r="D12" s="734">
        <v>0</v>
      </c>
      <c r="E12" s="734">
        <v>0</v>
      </c>
      <c r="F12" s="734">
        <v>0</v>
      </c>
      <c r="G12" s="734">
        <v>0</v>
      </c>
      <c r="H12" s="734"/>
      <c r="I12" s="734"/>
      <c r="J12" s="745"/>
      <c r="K12" s="134">
        <f t="shared" si="1"/>
        <v>0</v>
      </c>
      <c r="L12" s="134">
        <f t="shared" si="0"/>
        <v>0</v>
      </c>
      <c r="M12" s="748"/>
      <c r="N12" s="748"/>
      <c r="O12" s="914"/>
      <c r="P12" s="96"/>
    </row>
    <row r="13" spans="1:16" ht="12.75" customHeight="1" x14ac:dyDescent="0.25">
      <c r="A13" s="39" t="s">
        <v>729</v>
      </c>
      <c r="B13" s="169">
        <v>1900</v>
      </c>
      <c r="C13" s="734">
        <v>4528376.98999999</v>
      </c>
      <c r="D13" s="734">
        <v>1842561.01</v>
      </c>
      <c r="E13" s="734">
        <v>2191230.34</v>
      </c>
      <c r="F13" s="734">
        <v>1110576.46</v>
      </c>
      <c r="G13" s="734">
        <v>148151095.65000001</v>
      </c>
      <c r="H13" s="734"/>
      <c r="I13" s="734"/>
      <c r="J13" s="745"/>
      <c r="K13" s="134">
        <f t="shared" si="1"/>
        <v>157823840.44999999</v>
      </c>
      <c r="L13" s="134">
        <f>SUM(F13:J13)</f>
        <v>149261672.11000001</v>
      </c>
      <c r="M13" s="748"/>
      <c r="N13" s="748"/>
      <c r="O13" s="914"/>
    </row>
    <row r="14" spans="1:16" ht="12.75" customHeight="1" x14ac:dyDescent="0.25">
      <c r="A14" s="53" t="s">
        <v>1094</v>
      </c>
      <c r="B14" s="284">
        <v>2000</v>
      </c>
      <c r="C14" s="56">
        <f t="shared" ref="C14:N14" si="2">SUM(C5:C13)</f>
        <v>63007254.579999983</v>
      </c>
      <c r="D14" s="55">
        <f t="shared" si="2"/>
        <v>22044302.580000002</v>
      </c>
      <c r="E14" s="55">
        <f t="shared" si="2"/>
        <v>23430435.810000002</v>
      </c>
      <c r="F14" s="55">
        <f t="shared" si="2"/>
        <v>13884810.210000001</v>
      </c>
      <c r="G14" s="55">
        <f t="shared" si="2"/>
        <v>557594611.64999998</v>
      </c>
      <c r="H14" s="55">
        <f t="shared" si="2"/>
        <v>0</v>
      </c>
      <c r="I14" s="55">
        <f t="shared" si="2"/>
        <v>0</v>
      </c>
      <c r="J14" s="83">
        <f t="shared" si="2"/>
        <v>0</v>
      </c>
      <c r="K14" s="112">
        <f t="shared" si="2"/>
        <v>679961414.82999992</v>
      </c>
      <c r="L14" s="112">
        <f>SUM(L5:L13)</f>
        <v>571479421.86000001</v>
      </c>
      <c r="M14" s="54">
        <f t="shared" si="2"/>
        <v>0</v>
      </c>
      <c r="N14" s="54">
        <f t="shared" si="2"/>
        <v>0</v>
      </c>
      <c r="O14" s="915"/>
    </row>
    <row r="15" spans="1:16" ht="12.75" customHeight="1" x14ac:dyDescent="0.25">
      <c r="A15" s="313" t="str">
        <f>Head1&amp;" - totals only"</f>
        <v>2018/19 - totals only</v>
      </c>
      <c r="B15" s="367"/>
      <c r="C15" s="793"/>
      <c r="D15" s="794"/>
      <c r="E15" s="794"/>
      <c r="F15" s="794"/>
      <c r="G15" s="794"/>
      <c r="H15" s="794"/>
      <c r="I15" s="794"/>
      <c r="J15" s="795"/>
      <c r="K15" s="796">
        <f>SUM(C15:J15)</f>
        <v>0</v>
      </c>
      <c r="L15" s="368">
        <f>SUM(F15:J15)</f>
        <v>0</v>
      </c>
      <c r="M15" s="795"/>
      <c r="N15" s="896"/>
      <c r="O15" s="49"/>
    </row>
    <row r="16" spans="1:16" ht="12.75" customHeight="1" x14ac:dyDescent="0.25">
      <c r="A16" s="87" t="s">
        <v>1098</v>
      </c>
      <c r="B16" s="169"/>
      <c r="C16" s="46"/>
      <c r="D16" s="44"/>
      <c r="E16" s="44"/>
      <c r="F16" s="44"/>
      <c r="G16" s="44"/>
      <c r="H16" s="44"/>
      <c r="I16" s="44"/>
      <c r="J16" s="108"/>
      <c r="K16" s="134"/>
      <c r="L16" s="646"/>
      <c r="M16" s="45"/>
      <c r="N16" s="897"/>
    </row>
    <row r="17" spans="1:14" ht="12.75" customHeight="1" x14ac:dyDescent="0.25">
      <c r="A17" s="39" t="s">
        <v>1095</v>
      </c>
      <c r="B17" s="169">
        <v>2200</v>
      </c>
      <c r="C17" s="734">
        <v>2189597.37</v>
      </c>
      <c r="D17" s="734">
        <v>936248.21</v>
      </c>
      <c r="E17" s="734">
        <v>682402.38</v>
      </c>
      <c r="F17" s="734">
        <v>426081.15</v>
      </c>
      <c r="G17" s="734">
        <v>17092527</v>
      </c>
      <c r="H17" s="734"/>
      <c r="I17" s="734"/>
      <c r="J17" s="745"/>
      <c r="K17" s="134">
        <f>SUM(C17:J17)</f>
        <v>21326856.109999999</v>
      </c>
      <c r="L17" s="646">
        <f>SUM(F17:J17)</f>
        <v>17518608.149999999</v>
      </c>
      <c r="M17" s="748"/>
      <c r="N17" s="749"/>
    </row>
    <row r="18" spans="1:14" ht="12.75" customHeight="1" x14ac:dyDescent="0.25">
      <c r="A18" s="39" t="s">
        <v>1096</v>
      </c>
      <c r="B18" s="169">
        <v>2300</v>
      </c>
      <c r="C18" s="734">
        <v>35415092.210000001</v>
      </c>
      <c r="D18" s="734">
        <v>8735280.6899999995</v>
      </c>
      <c r="E18" s="734">
        <v>13492896.460000001</v>
      </c>
      <c r="F18" s="734">
        <v>5020944.03</v>
      </c>
      <c r="G18" s="734">
        <v>168924698.26000002</v>
      </c>
      <c r="H18" s="734"/>
      <c r="I18" s="734"/>
      <c r="J18" s="745"/>
      <c r="K18" s="134">
        <f>SUM(C18:J18)</f>
        <v>231588911.65000004</v>
      </c>
      <c r="L18" s="646">
        <f>SUM(F18:J18)</f>
        <v>173945642.29000002</v>
      </c>
      <c r="M18" s="748"/>
      <c r="N18" s="749"/>
    </row>
    <row r="19" spans="1:14" ht="12.75" customHeight="1" x14ac:dyDescent="0.25">
      <c r="A19" s="39" t="s">
        <v>694</v>
      </c>
      <c r="B19" s="169">
        <v>2400</v>
      </c>
      <c r="C19" s="734">
        <v>20044458.429999996</v>
      </c>
      <c r="D19" s="734">
        <v>10086291.810000001</v>
      </c>
      <c r="E19" s="734">
        <v>7343897.9800000004</v>
      </c>
      <c r="F19" s="734">
        <v>6555073.0999999996</v>
      </c>
      <c r="G19" s="734">
        <v>322615359.5</v>
      </c>
      <c r="H19" s="734"/>
      <c r="I19" s="734"/>
      <c r="J19" s="745"/>
      <c r="K19" s="134">
        <f>SUM(C19:J19)</f>
        <v>366645080.81999999</v>
      </c>
      <c r="L19" s="646">
        <f>SUM(F19:J19)</f>
        <v>329170432.60000002</v>
      </c>
      <c r="M19" s="748"/>
      <c r="N19" s="749"/>
    </row>
    <row r="20" spans="1:14" ht="12.75" customHeight="1" x14ac:dyDescent="0.25">
      <c r="A20" s="39" t="s">
        <v>729</v>
      </c>
      <c r="B20" s="169">
        <v>2500</v>
      </c>
      <c r="C20" s="734">
        <v>5358106.57</v>
      </c>
      <c r="D20" s="734">
        <v>2286481.87</v>
      </c>
      <c r="E20" s="734">
        <v>1911238.99</v>
      </c>
      <c r="F20" s="734">
        <v>1882711.93</v>
      </c>
      <c r="G20" s="734">
        <v>48962026.890000001</v>
      </c>
      <c r="H20" s="734"/>
      <c r="I20" s="734"/>
      <c r="J20" s="745"/>
      <c r="K20" s="134">
        <f>SUM(C20:J20)</f>
        <v>60400566.25</v>
      </c>
      <c r="L20" s="646">
        <f>SUM(F20:J20)</f>
        <v>50844738.82</v>
      </c>
      <c r="M20" s="748"/>
      <c r="N20" s="750"/>
    </row>
    <row r="21" spans="1:14" ht="12.75" customHeight="1" x14ac:dyDescent="0.25">
      <c r="A21" s="53" t="s">
        <v>1099</v>
      </c>
      <c r="B21" s="284">
        <v>2600</v>
      </c>
      <c r="C21" s="56">
        <f t="shared" ref="C21:I21" si="3">SUM(C17:C20)</f>
        <v>63007254.579999991</v>
      </c>
      <c r="D21" s="55">
        <f t="shared" si="3"/>
        <v>22044302.580000002</v>
      </c>
      <c r="E21" s="55">
        <f t="shared" si="3"/>
        <v>23430435.809999999</v>
      </c>
      <c r="F21" s="55">
        <f t="shared" si="3"/>
        <v>13884810.210000001</v>
      </c>
      <c r="G21" s="55">
        <f t="shared" si="3"/>
        <v>557594611.64999998</v>
      </c>
      <c r="H21" s="55">
        <f t="shared" si="3"/>
        <v>0</v>
      </c>
      <c r="I21" s="55">
        <f t="shared" si="3"/>
        <v>0</v>
      </c>
      <c r="J21" s="83">
        <f>SUM(J17:J20)</f>
        <v>0</v>
      </c>
      <c r="K21" s="112">
        <f>SUM(K17:K20)</f>
        <v>679961414.83000004</v>
      </c>
      <c r="L21" s="916">
        <f>SUM(L17:L20)</f>
        <v>571479421.86000013</v>
      </c>
      <c r="M21" s="54">
        <f>SUM(M17:M20)</f>
        <v>0</v>
      </c>
      <c r="N21" s="244">
        <f>SUM(N17:N20)</f>
        <v>0</v>
      </c>
    </row>
    <row r="22" spans="1:14" ht="12.75" customHeight="1" x14ac:dyDescent="0.25">
      <c r="A22" s="57" t="s">
        <v>800</v>
      </c>
      <c r="B22" s="167"/>
      <c r="C22" s="49"/>
      <c r="D22" s="49"/>
      <c r="E22" s="49"/>
      <c r="F22" s="49"/>
      <c r="G22" s="49"/>
      <c r="H22" s="49"/>
      <c r="I22" s="49"/>
      <c r="J22" s="49"/>
      <c r="K22" s="49"/>
      <c r="L22" s="49"/>
      <c r="M22" s="49"/>
      <c r="N22" s="49"/>
    </row>
    <row r="23" spans="1:14" ht="12.75" x14ac:dyDescent="0.25">
      <c r="A23" s="80" t="s">
        <v>630</v>
      </c>
    </row>
    <row r="24" spans="1:14" ht="12.75" x14ac:dyDescent="0.25">
      <c r="A24" s="80" t="s">
        <v>542</v>
      </c>
    </row>
    <row r="25" spans="1:14" ht="12.75" x14ac:dyDescent="0.25">
      <c r="A25" s="80" t="s">
        <v>1100</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5"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abSelected="1" zoomScaleNormal="100" workbookViewId="0">
      <selection activeCell="N13" sqref="N1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578</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878</v>
      </c>
      <c r="X10" s="684">
        <v>6</v>
      </c>
    </row>
    <row r="11" spans="4:25" x14ac:dyDescent="0.2">
      <c r="W11" s="647" t="s">
        <v>879</v>
      </c>
      <c r="X11" s="702" t="str">
        <f>VLOOKUP(X10,W39:X55,2)</f>
        <v>M06 December</v>
      </c>
      <c r="Y11" s="904">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872</v>
      </c>
      <c r="W39" s="647">
        <v>1</v>
      </c>
      <c r="X39" s="647" t="s">
        <v>874</v>
      </c>
      <c r="Y39" s="903"/>
    </row>
    <row r="40" spans="22:25" x14ac:dyDescent="0.2">
      <c r="W40" s="647">
        <v>2</v>
      </c>
      <c r="X40" s="647" t="s">
        <v>875</v>
      </c>
      <c r="Y40" s="903"/>
    </row>
    <row r="41" spans="22:25" x14ac:dyDescent="0.2">
      <c r="W41" s="647">
        <v>3</v>
      </c>
      <c r="X41" s="647" t="s">
        <v>880</v>
      </c>
    </row>
    <row r="42" spans="22:25" x14ac:dyDescent="0.2">
      <c r="W42" s="647">
        <v>4</v>
      </c>
      <c r="X42" s="647" t="s">
        <v>881</v>
      </c>
    </row>
    <row r="43" spans="22:25" x14ac:dyDescent="0.2">
      <c r="W43" s="647">
        <v>5</v>
      </c>
      <c r="X43" s="647" t="s">
        <v>882</v>
      </c>
    </row>
    <row r="44" spans="22:25" x14ac:dyDescent="0.2">
      <c r="W44" s="647">
        <v>6</v>
      </c>
      <c r="X44" s="647" t="s">
        <v>883</v>
      </c>
    </row>
    <row r="45" spans="22:25" x14ac:dyDescent="0.2">
      <c r="W45" s="647">
        <v>7</v>
      </c>
      <c r="X45" s="647" t="s">
        <v>884</v>
      </c>
    </row>
    <row r="46" spans="22:25" x14ac:dyDescent="0.2">
      <c r="W46" s="647">
        <v>8</v>
      </c>
      <c r="X46" s="647" t="s">
        <v>885</v>
      </c>
    </row>
    <row r="47" spans="22:25" x14ac:dyDescent="0.2">
      <c r="W47" s="647">
        <v>9</v>
      </c>
      <c r="X47" s="647" t="s">
        <v>886</v>
      </c>
    </row>
    <row r="48" spans="22:25" x14ac:dyDescent="0.2">
      <c r="W48" s="647">
        <v>10</v>
      </c>
      <c r="X48" s="647" t="s">
        <v>887</v>
      </c>
    </row>
    <row r="49" spans="23:24" x14ac:dyDescent="0.2">
      <c r="W49" s="647">
        <v>11</v>
      </c>
      <c r="X49" s="647" t="s">
        <v>888</v>
      </c>
    </row>
    <row r="50" spans="23:24" x14ac:dyDescent="0.2">
      <c r="W50" s="647">
        <v>12</v>
      </c>
      <c r="X50" s="647" t="s">
        <v>889</v>
      </c>
    </row>
    <row r="51" spans="23:24" x14ac:dyDescent="0.2">
      <c r="W51" s="647">
        <v>13</v>
      </c>
      <c r="X51" s="647" t="s">
        <v>876</v>
      </c>
    </row>
    <row r="52" spans="23:24" x14ac:dyDescent="0.2">
      <c r="W52" s="647">
        <v>14</v>
      </c>
      <c r="X52" s="647" t="s">
        <v>877</v>
      </c>
    </row>
    <row r="53" spans="23:24" x14ac:dyDescent="0.2">
      <c r="W53" s="647">
        <v>15</v>
      </c>
      <c r="X53" s="647" t="s">
        <v>890</v>
      </c>
    </row>
    <row r="54" spans="23:24" x14ac:dyDescent="0.2">
      <c r="W54" s="647">
        <v>16</v>
      </c>
      <c r="X54" s="647" t="s">
        <v>891</v>
      </c>
    </row>
    <row r="55" spans="23:24" x14ac:dyDescent="0.2">
      <c r="W55" s="647">
        <v>17</v>
      </c>
      <c r="X55" s="647" t="s">
        <v>873</v>
      </c>
    </row>
  </sheetData>
  <sheetProtection sheet="1" objects="1" scenarios="1"/>
  <phoneticPr fontId="5"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9525</xdr:rowOff>
              </from>
              <to>
                <xdr:col>5</xdr:col>
                <xdr:colOff>133350</xdr:colOff>
                <xdr:row>45</xdr:row>
                <xdr:rowOff>9525</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47625</xdr:rowOff>
              </from>
              <to>
                <xdr:col>5</xdr:col>
                <xdr:colOff>133350</xdr:colOff>
                <xdr:row>40</xdr:row>
                <xdr:rowOff>38100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123825</xdr:rowOff>
              </from>
              <to>
                <xdr:col>5</xdr:col>
                <xdr:colOff>133350</xdr:colOff>
                <xdr:row>37</xdr:row>
                <xdr:rowOff>123825</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219075</xdr:colOff>
                <xdr:row>12</xdr:row>
                <xdr:rowOff>28575</xdr:rowOff>
              </from>
              <to>
                <xdr:col>11</xdr:col>
                <xdr:colOff>247650</xdr:colOff>
                <xdr:row>13</xdr:row>
                <xdr:rowOff>123825</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219075</xdr:colOff>
                <xdr:row>9</xdr:row>
                <xdr:rowOff>123825</xdr:rowOff>
              </from>
              <to>
                <xdr:col>7</xdr:col>
                <xdr:colOff>552450</xdr:colOff>
                <xdr:row>11</xdr:row>
                <xdr:rowOff>57150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219075</xdr:colOff>
                <xdr:row>7</xdr:row>
                <xdr:rowOff>47625</xdr:rowOff>
              </from>
              <to>
                <xdr:col>11</xdr:col>
                <xdr:colOff>247650</xdr:colOff>
                <xdr:row>8</xdr:row>
                <xdr:rowOff>142875</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8" activePane="bottomRight" state="frozen"/>
      <selection pane="topRight"/>
      <selection pane="bottomLeft"/>
      <selection pane="bottomRight" activeCell="C12" sqref="C12:H12"/>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5" t="str">
        <f>muni&amp; " - "&amp;S71J&amp; " - "&amp;Head57</f>
        <v>LIM333 Greater Tzaneen - Supporting Table SC4 Monthly Budget Statement - aged creditors  - M06 December</v>
      </c>
      <c r="B1" s="1035"/>
      <c r="C1" s="1035"/>
      <c r="D1" s="1035"/>
      <c r="E1" s="1035"/>
      <c r="F1" s="1035"/>
      <c r="G1" s="1035"/>
      <c r="H1" s="1035"/>
      <c r="I1" s="1035"/>
      <c r="J1" s="1035"/>
      <c r="K1" s="1035"/>
    </row>
    <row r="2" spans="1:12" ht="12.75" customHeight="1" x14ac:dyDescent="0.25">
      <c r="A2" s="1024" t="str">
        <f>desc</f>
        <v>Description</v>
      </c>
      <c r="B2" s="1046" t="s">
        <v>745</v>
      </c>
      <c r="C2" s="137" t="str">
        <f>Head2</f>
        <v>Budget Year 2019/20</v>
      </c>
      <c r="D2" s="137"/>
      <c r="E2" s="137"/>
      <c r="F2" s="137"/>
      <c r="G2" s="137"/>
      <c r="H2" s="137"/>
      <c r="I2" s="137"/>
      <c r="J2" s="137"/>
      <c r="K2" s="138"/>
      <c r="L2" s="1053" t="s">
        <v>78</v>
      </c>
    </row>
    <row r="3" spans="1:12" ht="12.75" customHeight="1" x14ac:dyDescent="0.25">
      <c r="A3" s="1059"/>
      <c r="B3" s="1047"/>
      <c r="C3" s="1049" t="s">
        <v>737</v>
      </c>
      <c r="D3" s="1051" t="s">
        <v>738</v>
      </c>
      <c r="E3" s="1051" t="s">
        <v>739</v>
      </c>
      <c r="F3" s="1051" t="s">
        <v>740</v>
      </c>
      <c r="G3" s="1051" t="s">
        <v>741</v>
      </c>
      <c r="H3" s="1051" t="s">
        <v>742</v>
      </c>
      <c r="I3" s="1051" t="s">
        <v>743</v>
      </c>
      <c r="J3" s="1056" t="s">
        <v>744</v>
      </c>
      <c r="K3" s="1058" t="s">
        <v>513</v>
      </c>
      <c r="L3" s="1054"/>
    </row>
    <row r="4" spans="1:12" ht="12.75" customHeight="1" x14ac:dyDescent="0.25">
      <c r="A4" s="34" t="s">
        <v>676</v>
      </c>
      <c r="B4" s="1048"/>
      <c r="C4" s="1050"/>
      <c r="D4" s="1052"/>
      <c r="E4" s="1052"/>
      <c r="F4" s="1052"/>
      <c r="G4" s="1052"/>
      <c r="H4" s="1052"/>
      <c r="I4" s="1052"/>
      <c r="J4" s="1057"/>
      <c r="K4" s="1048"/>
      <c r="L4" s="1055"/>
    </row>
    <row r="5" spans="1:12" ht="12.75" customHeight="1" x14ac:dyDescent="0.25">
      <c r="A5" s="87" t="s">
        <v>672</v>
      </c>
      <c r="B5" s="169"/>
      <c r="C5" s="287"/>
      <c r="D5" s="165"/>
      <c r="E5" s="165"/>
      <c r="F5" s="165"/>
      <c r="G5" s="165"/>
      <c r="H5" s="165"/>
      <c r="I5" s="165"/>
      <c r="J5" s="285"/>
      <c r="K5" s="166"/>
      <c r="L5" s="166"/>
    </row>
    <row r="6" spans="1:12" ht="12.75" customHeight="1" x14ac:dyDescent="0.25">
      <c r="A6" s="39" t="s">
        <v>695</v>
      </c>
      <c r="B6" s="169" t="s">
        <v>696</v>
      </c>
      <c r="C6" s="754"/>
      <c r="D6" s="734"/>
      <c r="E6" s="734"/>
      <c r="F6" s="734"/>
      <c r="G6" s="734"/>
      <c r="H6" s="734"/>
      <c r="I6" s="734"/>
      <c r="J6" s="736"/>
      <c r="K6" s="109">
        <f>SUM(C6:J6)</f>
        <v>0</v>
      </c>
      <c r="L6" s="749"/>
    </row>
    <row r="7" spans="1:12" ht="12.75" customHeight="1" x14ac:dyDescent="0.25">
      <c r="A7" s="39" t="s">
        <v>697</v>
      </c>
      <c r="B7" s="169" t="s">
        <v>698</v>
      </c>
      <c r="C7" s="754"/>
      <c r="D7" s="734"/>
      <c r="E7" s="734"/>
      <c r="F7" s="734"/>
      <c r="G7" s="734"/>
      <c r="H7" s="734"/>
      <c r="I7" s="734"/>
      <c r="J7" s="736"/>
      <c r="K7" s="109">
        <f t="shared" ref="K7:K13" si="0">SUM(C7:J7)</f>
        <v>0</v>
      </c>
      <c r="L7" s="749"/>
    </row>
    <row r="8" spans="1:12" ht="12.75" customHeight="1" x14ac:dyDescent="0.25">
      <c r="A8" s="39" t="s">
        <v>699</v>
      </c>
      <c r="B8" s="169" t="s">
        <v>700</v>
      </c>
      <c r="C8" s="754"/>
      <c r="D8" s="734"/>
      <c r="E8" s="734"/>
      <c r="F8" s="734"/>
      <c r="G8" s="734"/>
      <c r="H8" s="734"/>
      <c r="I8" s="734"/>
      <c r="J8" s="736"/>
      <c r="K8" s="109">
        <f t="shared" si="0"/>
        <v>0</v>
      </c>
      <c r="L8" s="749"/>
    </row>
    <row r="9" spans="1:12" ht="12.75" customHeight="1" x14ac:dyDescent="0.25">
      <c r="A9" s="39" t="s">
        <v>600</v>
      </c>
      <c r="B9" s="169" t="s">
        <v>601</v>
      </c>
      <c r="C9" s="754"/>
      <c r="D9" s="734"/>
      <c r="E9" s="734"/>
      <c r="F9" s="734"/>
      <c r="G9" s="734"/>
      <c r="H9" s="734"/>
      <c r="I9" s="734"/>
      <c r="J9" s="736"/>
      <c r="K9" s="109">
        <f t="shared" si="0"/>
        <v>0</v>
      </c>
      <c r="L9" s="749"/>
    </row>
    <row r="10" spans="1:12" ht="12.75" customHeight="1" x14ac:dyDescent="0.25">
      <c r="A10" s="39" t="s">
        <v>602</v>
      </c>
      <c r="B10" s="169" t="s">
        <v>603</v>
      </c>
      <c r="C10" s="754"/>
      <c r="D10" s="734"/>
      <c r="E10" s="734"/>
      <c r="F10" s="734"/>
      <c r="G10" s="734"/>
      <c r="H10" s="734"/>
      <c r="I10" s="734"/>
      <c r="J10" s="736"/>
      <c r="K10" s="109">
        <f t="shared" si="0"/>
        <v>0</v>
      </c>
      <c r="L10" s="749"/>
    </row>
    <row r="11" spans="1:12" ht="12.75" customHeight="1" x14ac:dyDescent="0.25">
      <c r="A11" s="39" t="s">
        <v>604</v>
      </c>
      <c r="B11" s="169" t="s">
        <v>605</v>
      </c>
      <c r="C11" s="754"/>
      <c r="D11" s="734"/>
      <c r="E11" s="734"/>
      <c r="F11" s="734"/>
      <c r="G11" s="734"/>
      <c r="H11" s="734"/>
      <c r="I11" s="734"/>
      <c r="J11" s="736"/>
      <c r="K11" s="109">
        <f t="shared" si="0"/>
        <v>0</v>
      </c>
      <c r="L11" s="749"/>
    </row>
    <row r="12" spans="1:12" ht="12.75" customHeight="1" x14ac:dyDescent="0.25">
      <c r="A12" s="39" t="s">
        <v>606</v>
      </c>
      <c r="B12" s="169" t="s">
        <v>607</v>
      </c>
      <c r="C12" s="754">
        <v>1159945.68</v>
      </c>
      <c r="D12" s="734">
        <v>1608.2</v>
      </c>
      <c r="E12" s="734">
        <v>369695.1</v>
      </c>
      <c r="F12" s="734">
        <v>0</v>
      </c>
      <c r="G12" s="734">
        <v>162097.1</v>
      </c>
      <c r="H12" s="734">
        <v>957284.43</v>
      </c>
      <c r="I12" s="734"/>
      <c r="J12" s="736"/>
      <c r="K12" s="109">
        <f t="shared" si="0"/>
        <v>2650630.5100000002</v>
      </c>
      <c r="L12" s="749"/>
    </row>
    <row r="13" spans="1:12" ht="12.75" customHeight="1" x14ac:dyDescent="0.25">
      <c r="A13" s="39" t="s">
        <v>608</v>
      </c>
      <c r="B13" s="169" t="s">
        <v>609</v>
      </c>
      <c r="C13" s="754"/>
      <c r="D13" s="734"/>
      <c r="E13" s="734"/>
      <c r="F13" s="734"/>
      <c r="G13" s="734"/>
      <c r="H13" s="734"/>
      <c r="I13" s="734"/>
      <c r="J13" s="736"/>
      <c r="K13" s="109">
        <f t="shared" si="0"/>
        <v>0</v>
      </c>
      <c r="L13" s="749"/>
    </row>
    <row r="14" spans="1:12" ht="12.75" customHeight="1" x14ac:dyDescent="0.25">
      <c r="A14" s="39" t="s">
        <v>729</v>
      </c>
      <c r="B14" s="169" t="s">
        <v>610</v>
      </c>
      <c r="C14" s="754"/>
      <c r="D14" s="734"/>
      <c r="E14" s="734"/>
      <c r="F14" s="734"/>
      <c r="G14" s="734"/>
      <c r="H14" s="734"/>
      <c r="I14" s="734"/>
      <c r="J14" s="736"/>
      <c r="K14" s="109">
        <f>SUM(C14:J14)</f>
        <v>0</v>
      </c>
      <c r="L14" s="749"/>
    </row>
    <row r="15" spans="1:12" ht="12.75" customHeight="1" x14ac:dyDescent="0.25">
      <c r="A15" s="53" t="s">
        <v>934</v>
      </c>
      <c r="B15" s="284">
        <v>1000</v>
      </c>
      <c r="C15" s="271">
        <f>SUM(C6:C14)</f>
        <v>1159945.68</v>
      </c>
      <c r="D15" s="55">
        <f t="shared" ref="D15:J15" si="1">SUM(D6:D14)</f>
        <v>1608.2</v>
      </c>
      <c r="E15" s="55">
        <f t="shared" si="1"/>
        <v>369695.1</v>
      </c>
      <c r="F15" s="55">
        <f t="shared" si="1"/>
        <v>0</v>
      </c>
      <c r="G15" s="55">
        <f t="shared" si="1"/>
        <v>162097.1</v>
      </c>
      <c r="H15" s="55">
        <f t="shared" si="1"/>
        <v>957284.43</v>
      </c>
      <c r="I15" s="55">
        <f t="shared" si="1"/>
        <v>0</v>
      </c>
      <c r="J15" s="235">
        <f t="shared" si="1"/>
        <v>0</v>
      </c>
      <c r="K15" s="112">
        <f>SUM(K6:K14)</f>
        <v>2650630.5100000002</v>
      </c>
      <c r="L15" s="160">
        <f>SUM(L6:L14)</f>
        <v>0</v>
      </c>
    </row>
    <row r="16" spans="1:12" ht="12.75" customHeight="1" x14ac:dyDescent="0.25">
      <c r="A16" s="57" t="s">
        <v>800</v>
      </c>
      <c r="B16" s="167"/>
      <c r="C16" s="49"/>
      <c r="D16" s="49"/>
      <c r="E16" s="49"/>
      <c r="F16" s="49"/>
      <c r="G16" s="49"/>
      <c r="H16" s="49"/>
      <c r="I16" s="49"/>
      <c r="J16" s="49"/>
      <c r="K16" s="49"/>
    </row>
    <row r="17" spans="1:1" ht="12.75" customHeight="1" x14ac:dyDescent="0.25">
      <c r="A17" s="121" t="s">
        <v>629</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5"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F4" activePane="bottomRight" state="frozen"/>
      <selection pane="topRight"/>
      <selection pane="bottomLeft"/>
      <selection pane="bottomRight" activeCell="M16" sqref="M16"/>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5" t="str">
        <f>muni&amp; " - "&amp;S71K&amp; " - "&amp;Head57</f>
        <v>LIM333 Greater Tzaneen - Supporting Table SC5 Monthly Budget Statement - investment portfolio  - M06 December</v>
      </c>
      <c r="B1" s="1035"/>
      <c r="C1" s="1035"/>
      <c r="D1" s="1035"/>
      <c r="E1" s="1035"/>
      <c r="F1" s="1035"/>
      <c r="G1" s="1035"/>
      <c r="H1" s="1035"/>
      <c r="I1" s="1035"/>
      <c r="J1" s="1035"/>
      <c r="K1" s="67"/>
    </row>
    <row r="2" spans="1:15" ht="54" customHeight="1" x14ac:dyDescent="0.25">
      <c r="A2" s="270" t="s">
        <v>908</v>
      </c>
      <c r="B2" s="1046" t="s">
        <v>579</v>
      </c>
      <c r="C2" s="26" t="s">
        <v>130</v>
      </c>
      <c r="D2" s="1062" t="s">
        <v>616</v>
      </c>
      <c r="E2" s="950" t="s">
        <v>1365</v>
      </c>
      <c r="F2" s="950" t="s">
        <v>1366</v>
      </c>
      <c r="G2" s="950" t="s">
        <v>1367</v>
      </c>
      <c r="H2" s="950" t="s">
        <v>1368</v>
      </c>
      <c r="I2" s="950" t="s">
        <v>1369</v>
      </c>
      <c r="J2" s="1064" t="s">
        <v>617</v>
      </c>
      <c r="K2" s="149" t="s">
        <v>1370</v>
      </c>
      <c r="L2" s="142" t="s">
        <v>1371</v>
      </c>
      <c r="M2" s="26" t="s">
        <v>1372</v>
      </c>
      <c r="N2" s="26" t="s">
        <v>1373</v>
      </c>
      <c r="O2" s="142" t="s">
        <v>1374</v>
      </c>
    </row>
    <row r="3" spans="1:15" ht="12.75" customHeight="1" x14ac:dyDescent="0.25">
      <c r="A3" s="34" t="s">
        <v>676</v>
      </c>
      <c r="B3" s="1048"/>
      <c r="C3" s="413" t="s">
        <v>131</v>
      </c>
      <c r="D3" s="1063"/>
      <c r="E3" s="951"/>
      <c r="F3" s="951"/>
      <c r="G3" s="951"/>
      <c r="H3" s="951"/>
      <c r="I3" s="951"/>
      <c r="J3" s="1057"/>
      <c r="K3" s="1060"/>
      <c r="L3" s="1060"/>
      <c r="M3" s="1060"/>
      <c r="N3" s="1060"/>
      <c r="O3" s="1061"/>
    </row>
    <row r="4" spans="1:15" ht="12.75" customHeight="1" x14ac:dyDescent="0.25">
      <c r="A4" s="550" t="s">
        <v>345</v>
      </c>
      <c r="B4" s="171"/>
      <c r="C4" s="552"/>
      <c r="D4" s="535"/>
      <c r="E4" s="535"/>
      <c r="F4" s="535"/>
      <c r="G4" s="535"/>
      <c r="H4" s="535"/>
      <c r="I4" s="535"/>
      <c r="J4" s="536"/>
      <c r="O4" s="184"/>
    </row>
    <row r="5" spans="1:15" ht="12.75" customHeight="1" x14ac:dyDescent="0.25">
      <c r="A5" s="775" t="s">
        <v>1564</v>
      </c>
      <c r="B5" s="169"/>
      <c r="C5" s="952" t="s">
        <v>1566</v>
      </c>
      <c r="D5" s="953" t="s">
        <v>1565</v>
      </c>
      <c r="E5" s="953" t="s">
        <v>578</v>
      </c>
      <c r="F5" s="953" t="s">
        <v>1567</v>
      </c>
      <c r="G5" s="953"/>
      <c r="H5" s="953">
        <v>0</v>
      </c>
      <c r="I5" s="953" t="s">
        <v>1568</v>
      </c>
      <c r="J5" s="954"/>
      <c r="K5" s="955">
        <v>279169</v>
      </c>
      <c r="L5" s="956"/>
      <c r="M5" s="957"/>
      <c r="N5" s="957"/>
      <c r="O5" s="958">
        <f t="shared" ref="O5:O11" si="0">SUM(K5:N5)</f>
        <v>279169</v>
      </c>
    </row>
    <row r="6" spans="1:15" ht="12.75" customHeight="1" x14ac:dyDescent="0.25">
      <c r="A6" s="775" t="s">
        <v>1569</v>
      </c>
      <c r="B6" s="169"/>
      <c r="C6" s="952" t="s">
        <v>1570</v>
      </c>
      <c r="D6" s="953"/>
      <c r="E6" s="953" t="s">
        <v>578</v>
      </c>
      <c r="F6" s="953" t="s">
        <v>1567</v>
      </c>
      <c r="G6" s="953">
        <v>16.41</v>
      </c>
      <c r="H6" s="953">
        <v>0</v>
      </c>
      <c r="I6" s="953" t="s">
        <v>1568</v>
      </c>
      <c r="J6" s="954"/>
      <c r="K6" s="955">
        <v>17388103</v>
      </c>
      <c r="L6" s="956"/>
      <c r="M6" s="957"/>
      <c r="N6" s="957"/>
      <c r="O6" s="958">
        <f t="shared" si="0"/>
        <v>17388103</v>
      </c>
    </row>
    <row r="7" spans="1:15" ht="12.75" customHeight="1" x14ac:dyDescent="0.25">
      <c r="A7" s="775"/>
      <c r="B7" s="169"/>
      <c r="C7" s="952"/>
      <c r="D7" s="953"/>
      <c r="E7" s="953"/>
      <c r="F7" s="953"/>
      <c r="G7" s="953"/>
      <c r="H7" s="953"/>
      <c r="I7" s="953"/>
      <c r="J7" s="954"/>
      <c r="K7" s="955"/>
      <c r="L7" s="956"/>
      <c r="M7" s="957"/>
      <c r="N7" s="957"/>
      <c r="O7" s="958">
        <f t="shared" si="0"/>
        <v>0</v>
      </c>
    </row>
    <row r="8" spans="1:15" ht="12.75" customHeight="1" x14ac:dyDescent="0.25">
      <c r="A8" s="775"/>
      <c r="B8" s="169"/>
      <c r="C8" s="952"/>
      <c r="D8" s="953"/>
      <c r="E8" s="953"/>
      <c r="F8" s="953"/>
      <c r="G8" s="953"/>
      <c r="H8" s="953"/>
      <c r="I8" s="953"/>
      <c r="J8" s="954"/>
      <c r="K8" s="955"/>
      <c r="L8" s="956"/>
      <c r="M8" s="957"/>
      <c r="N8" s="957"/>
      <c r="O8" s="958">
        <f t="shared" si="0"/>
        <v>0</v>
      </c>
    </row>
    <row r="9" spans="1:15" ht="12.75" customHeight="1" x14ac:dyDescent="0.25">
      <c r="A9" s="775"/>
      <c r="B9" s="169"/>
      <c r="C9" s="952"/>
      <c r="D9" s="953"/>
      <c r="E9" s="953"/>
      <c r="F9" s="953"/>
      <c r="G9" s="953"/>
      <c r="H9" s="953"/>
      <c r="I9" s="953"/>
      <c r="J9" s="954"/>
      <c r="K9" s="955"/>
      <c r="L9" s="956"/>
      <c r="M9" s="957"/>
      <c r="N9" s="957"/>
      <c r="O9" s="958">
        <f t="shared" si="0"/>
        <v>0</v>
      </c>
    </row>
    <row r="10" spans="1:15" ht="12.75" customHeight="1" x14ac:dyDescent="0.25">
      <c r="A10" s="775"/>
      <c r="B10" s="169"/>
      <c r="C10" s="952"/>
      <c r="D10" s="953"/>
      <c r="E10" s="953"/>
      <c r="F10" s="953"/>
      <c r="G10" s="953"/>
      <c r="H10" s="953"/>
      <c r="I10" s="953"/>
      <c r="J10" s="954"/>
      <c r="K10" s="955"/>
      <c r="L10" s="956"/>
      <c r="M10" s="957"/>
      <c r="N10" s="957"/>
      <c r="O10" s="958">
        <f t="shared" si="0"/>
        <v>0</v>
      </c>
    </row>
    <row r="11" spans="1:15" ht="12.75" customHeight="1" x14ac:dyDescent="0.25">
      <c r="A11" s="775"/>
      <c r="B11" s="169"/>
      <c r="C11" s="952"/>
      <c r="D11" s="953"/>
      <c r="E11" s="953"/>
      <c r="F11" s="953"/>
      <c r="G11" s="953"/>
      <c r="H11" s="953"/>
      <c r="I11" s="953"/>
      <c r="J11" s="954"/>
      <c r="K11" s="955"/>
      <c r="L11" s="956"/>
      <c r="M11" s="957"/>
      <c r="N11" s="957"/>
      <c r="O11" s="958">
        <f t="shared" si="0"/>
        <v>0</v>
      </c>
    </row>
    <row r="12" spans="1:15" ht="12.75" customHeight="1" x14ac:dyDescent="0.25">
      <c r="A12" s="548" t="s">
        <v>132</v>
      </c>
      <c r="B12" s="169"/>
      <c r="C12" s="971"/>
      <c r="D12" s="959"/>
      <c r="E12" s="959"/>
      <c r="F12" s="959"/>
      <c r="G12" s="959"/>
      <c r="H12" s="959"/>
      <c r="I12" s="959"/>
      <c r="J12" s="960"/>
      <c r="K12" s="961">
        <f>SUM(K5:K11)</f>
        <v>17667272</v>
      </c>
      <c r="L12" s="962"/>
      <c r="M12" s="963">
        <f>SUM(M5:M11)</f>
        <v>0</v>
      </c>
      <c r="N12" s="963">
        <f>SUM(N5:N11)</f>
        <v>0</v>
      </c>
      <c r="O12" s="964">
        <f>SUM(O5:O11)</f>
        <v>17667272</v>
      </c>
    </row>
    <row r="13" spans="1:15" ht="3.75" customHeight="1" x14ac:dyDescent="0.25">
      <c r="A13" s="549"/>
      <c r="B13" s="169"/>
      <c r="C13" s="605"/>
      <c r="D13" s="965"/>
      <c r="E13" s="965"/>
      <c r="F13" s="965"/>
      <c r="G13" s="965"/>
      <c r="H13" s="965"/>
      <c r="I13" s="965"/>
      <c r="J13" s="966"/>
      <c r="K13" s="967"/>
      <c r="L13" s="968"/>
      <c r="M13" s="969"/>
      <c r="N13" s="969"/>
      <c r="O13" s="970"/>
    </row>
    <row r="14" spans="1:15" ht="12.75" customHeight="1" x14ac:dyDescent="0.25">
      <c r="A14" s="550" t="s">
        <v>133</v>
      </c>
      <c r="B14" s="169"/>
      <c r="C14" s="605"/>
      <c r="D14" s="965"/>
      <c r="E14" s="965"/>
      <c r="F14" s="965"/>
      <c r="G14" s="965"/>
      <c r="H14" s="965"/>
      <c r="I14" s="965"/>
      <c r="J14" s="966"/>
      <c r="K14" s="967"/>
      <c r="L14" s="968"/>
      <c r="M14" s="969"/>
      <c r="N14" s="969"/>
      <c r="O14" s="970"/>
    </row>
    <row r="15" spans="1:15" ht="12.75" customHeight="1" x14ac:dyDescent="0.25">
      <c r="A15" s="776"/>
      <c r="B15" s="169"/>
      <c r="C15" s="952"/>
      <c r="D15" s="953"/>
      <c r="E15" s="953"/>
      <c r="F15" s="953"/>
      <c r="G15" s="953"/>
      <c r="H15" s="953"/>
      <c r="I15" s="953"/>
      <c r="J15" s="954"/>
      <c r="K15" s="955"/>
      <c r="L15" s="956"/>
      <c r="M15" s="957"/>
      <c r="N15" s="957"/>
      <c r="O15" s="958">
        <f t="shared" ref="O15:O21" si="1">SUM(K15:N15)</f>
        <v>0</v>
      </c>
    </row>
    <row r="16" spans="1:15" ht="12.75" customHeight="1" x14ac:dyDescent="0.25">
      <c r="A16" s="776"/>
      <c r="B16" s="169"/>
      <c r="C16" s="952"/>
      <c r="D16" s="953"/>
      <c r="E16" s="953"/>
      <c r="F16" s="953"/>
      <c r="G16" s="953"/>
      <c r="H16" s="953"/>
      <c r="I16" s="953"/>
      <c r="J16" s="954"/>
      <c r="K16" s="955"/>
      <c r="L16" s="956"/>
      <c r="M16" s="957"/>
      <c r="N16" s="957"/>
      <c r="O16" s="958">
        <f t="shared" si="1"/>
        <v>0</v>
      </c>
    </row>
    <row r="17" spans="1:16" ht="12.75" customHeight="1" x14ac:dyDescent="0.25">
      <c r="A17" s="776"/>
      <c r="B17" s="169"/>
      <c r="C17" s="952"/>
      <c r="D17" s="953"/>
      <c r="E17" s="953"/>
      <c r="F17" s="953"/>
      <c r="G17" s="953"/>
      <c r="H17" s="953"/>
      <c r="I17" s="953"/>
      <c r="J17" s="954"/>
      <c r="K17" s="955"/>
      <c r="L17" s="956"/>
      <c r="M17" s="957"/>
      <c r="N17" s="957"/>
      <c r="O17" s="958">
        <f t="shared" si="1"/>
        <v>0</v>
      </c>
    </row>
    <row r="18" spans="1:16" ht="12.75" customHeight="1" x14ac:dyDescent="0.25">
      <c r="A18" s="776"/>
      <c r="B18" s="169"/>
      <c r="C18" s="952"/>
      <c r="D18" s="953"/>
      <c r="E18" s="953"/>
      <c r="F18" s="953"/>
      <c r="G18" s="953"/>
      <c r="H18" s="953"/>
      <c r="I18" s="953"/>
      <c r="J18" s="954"/>
      <c r="K18" s="955"/>
      <c r="L18" s="956"/>
      <c r="M18" s="957"/>
      <c r="N18" s="957"/>
      <c r="O18" s="958">
        <f t="shared" si="1"/>
        <v>0</v>
      </c>
    </row>
    <row r="19" spans="1:16" ht="12.75" customHeight="1" x14ac:dyDescent="0.25">
      <c r="A19" s="776"/>
      <c r="B19" s="169"/>
      <c r="C19" s="952"/>
      <c r="D19" s="953"/>
      <c r="E19" s="953"/>
      <c r="F19" s="953"/>
      <c r="G19" s="953"/>
      <c r="H19" s="953"/>
      <c r="I19" s="953"/>
      <c r="J19" s="954"/>
      <c r="K19" s="955"/>
      <c r="L19" s="956"/>
      <c r="M19" s="957"/>
      <c r="N19" s="957"/>
      <c r="O19" s="958">
        <f t="shared" si="1"/>
        <v>0</v>
      </c>
    </row>
    <row r="20" spans="1:16" ht="12.75" customHeight="1" x14ac:dyDescent="0.25">
      <c r="A20" s="776"/>
      <c r="B20" s="169"/>
      <c r="C20" s="952"/>
      <c r="D20" s="953"/>
      <c r="E20" s="953"/>
      <c r="F20" s="953"/>
      <c r="G20" s="953"/>
      <c r="H20" s="953"/>
      <c r="I20" s="953"/>
      <c r="J20" s="954"/>
      <c r="K20" s="955"/>
      <c r="L20" s="956"/>
      <c r="M20" s="957"/>
      <c r="N20" s="957"/>
      <c r="O20" s="958">
        <f t="shared" si="1"/>
        <v>0</v>
      </c>
    </row>
    <row r="21" spans="1:16" ht="12.75" customHeight="1" x14ac:dyDescent="0.25">
      <c r="A21" s="776"/>
      <c r="B21" s="169"/>
      <c r="C21" s="952"/>
      <c r="D21" s="953"/>
      <c r="E21" s="953"/>
      <c r="F21" s="953"/>
      <c r="G21" s="953"/>
      <c r="H21" s="953"/>
      <c r="I21" s="953"/>
      <c r="J21" s="954"/>
      <c r="K21" s="955"/>
      <c r="L21" s="956"/>
      <c r="M21" s="957"/>
      <c r="N21" s="957"/>
      <c r="O21" s="958">
        <f t="shared" si="1"/>
        <v>0</v>
      </c>
    </row>
    <row r="22" spans="1:16" ht="12.75" customHeight="1" x14ac:dyDescent="0.25">
      <c r="A22" s="548" t="s">
        <v>134</v>
      </c>
      <c r="B22" s="169"/>
      <c r="C22" s="971"/>
      <c r="D22" s="959"/>
      <c r="E22" s="959"/>
      <c r="F22" s="959"/>
      <c r="G22" s="959"/>
      <c r="H22" s="959"/>
      <c r="I22" s="959"/>
      <c r="J22" s="960"/>
      <c r="K22" s="961">
        <f>SUM(K15:K21)</f>
        <v>0</v>
      </c>
      <c r="L22" s="962"/>
      <c r="M22" s="963">
        <f>SUM(M15:M21)</f>
        <v>0</v>
      </c>
      <c r="N22" s="963">
        <f>SUM(N15:N21)</f>
        <v>0</v>
      </c>
      <c r="O22" s="964">
        <f>SUM(O15:O21)</f>
        <v>0</v>
      </c>
    </row>
    <row r="23" spans="1:16" ht="3.75" customHeight="1" x14ac:dyDescent="0.25">
      <c r="A23" s="549"/>
      <c r="B23" s="169"/>
      <c r="C23" s="605"/>
      <c r="D23" s="965"/>
      <c r="E23" s="965"/>
      <c r="F23" s="965"/>
      <c r="G23" s="965"/>
      <c r="H23" s="965"/>
      <c r="I23" s="965"/>
      <c r="J23" s="966"/>
      <c r="K23" s="972"/>
      <c r="L23" s="973"/>
      <c r="M23" s="974"/>
      <c r="N23" s="974"/>
      <c r="O23" s="975"/>
    </row>
    <row r="24" spans="1:16" ht="12.75" customHeight="1" x14ac:dyDescent="0.25">
      <c r="A24" s="551" t="s">
        <v>135</v>
      </c>
      <c r="B24" s="236">
        <v>2</v>
      </c>
      <c r="C24" s="976"/>
      <c r="D24" s="977"/>
      <c r="E24" s="977"/>
      <c r="F24" s="977"/>
      <c r="G24" s="977"/>
      <c r="H24" s="977"/>
      <c r="I24" s="977"/>
      <c r="J24" s="978"/>
      <c r="K24" s="979">
        <f>K12+K22</f>
        <v>17667272</v>
      </c>
      <c r="L24" s="980"/>
      <c r="M24" s="981">
        <f>M12+M22</f>
        <v>0</v>
      </c>
      <c r="N24" s="981">
        <f>N12+N22</f>
        <v>0</v>
      </c>
      <c r="O24" s="982">
        <f>O12+O22</f>
        <v>17667272</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1375</v>
      </c>
      <c r="B26" s="58"/>
      <c r="C26" s="84"/>
      <c r="D26" s="84"/>
      <c r="E26" s="84"/>
      <c r="F26" s="84"/>
      <c r="G26" s="84"/>
      <c r="H26" s="84"/>
      <c r="I26" s="84"/>
      <c r="J26" s="84"/>
      <c r="N26" s="67"/>
      <c r="O26" s="67"/>
      <c r="P26" s="67"/>
    </row>
    <row r="27" spans="1:16" ht="12.75" customHeight="1" x14ac:dyDescent="0.25">
      <c r="A27" s="585" t="s">
        <v>1376</v>
      </c>
      <c r="B27" s="58"/>
      <c r="C27" s="62"/>
      <c r="D27" s="61"/>
      <c r="E27" s="62"/>
      <c r="F27" s="62"/>
      <c r="G27" s="62"/>
      <c r="H27" s="62"/>
      <c r="I27" s="62"/>
      <c r="J27" s="62"/>
    </row>
    <row r="28" spans="1:16" ht="11.25" customHeight="1" x14ac:dyDescent="0.25">
      <c r="A28" s="585" t="s">
        <v>1377</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5"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62" activePane="bottomRight" state="frozen"/>
      <selection pane="topRight"/>
      <selection pane="bottomLeft"/>
      <selection pane="bottomRight" activeCell="F43" sqref="F43"/>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"&amp;S71L&amp; " - "&amp;Head57</f>
        <v>LIM333 Greater Tzaneen - Supporting Table SC6 Monthly Budget Statement - transfers and grant receipts  - M06 December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35" t="s">
        <v>988</v>
      </c>
      <c r="B5" s="169" t="s">
        <v>972</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631</v>
      </c>
      <c r="B8" s="169"/>
      <c r="C8" s="109">
        <f t="shared" ref="C8:I8" si="0">SUM(C9:C19)</f>
        <v>365724690.06999999</v>
      </c>
      <c r="D8" s="51">
        <f t="shared" si="0"/>
        <v>416300150</v>
      </c>
      <c r="E8" s="50">
        <f t="shared" si="0"/>
        <v>416300150</v>
      </c>
      <c r="F8" s="50">
        <f t="shared" si="0"/>
        <v>127772000</v>
      </c>
      <c r="G8" s="50">
        <f t="shared" si="0"/>
        <v>305815000</v>
      </c>
      <c r="H8" s="50">
        <f t="shared" si="0"/>
        <v>143977000</v>
      </c>
      <c r="I8" s="50">
        <f t="shared" si="0"/>
        <v>146667000</v>
      </c>
      <c r="J8" s="343">
        <f t="shared" ref="J8:J38" si="1">IF(I8=0,"",I8/H8)</f>
        <v>1.0186835397320406</v>
      </c>
      <c r="K8" s="194">
        <f>SUM(K9:K19)</f>
        <v>416300150</v>
      </c>
    </row>
    <row r="9" spans="1:11" ht="12.75" customHeight="1" x14ac:dyDescent="0.25">
      <c r="A9" s="777" t="s">
        <v>1001</v>
      </c>
      <c r="B9" s="169"/>
      <c r="C9" s="778">
        <v>338344000</v>
      </c>
      <c r="D9" s="779">
        <v>383693000</v>
      </c>
      <c r="E9" s="779">
        <v>383693000</v>
      </c>
      <c r="F9" s="735">
        <v>127772000</v>
      </c>
      <c r="G9" s="735">
        <v>287644000</v>
      </c>
      <c r="H9" s="735">
        <v>140977000</v>
      </c>
      <c r="I9" s="514">
        <f t="shared" ref="I9:I19" si="2">G9-H9</f>
        <v>146667000</v>
      </c>
      <c r="J9" s="553">
        <f t="shared" si="1"/>
        <v>1.0403611936698893</v>
      </c>
      <c r="K9" s="737">
        <v>383693000</v>
      </c>
    </row>
    <row r="10" spans="1:11" ht="12.75" customHeight="1" x14ac:dyDescent="0.25">
      <c r="A10" s="777" t="s">
        <v>1003</v>
      </c>
      <c r="B10" s="169"/>
      <c r="C10" s="749">
        <v>2145000</v>
      </c>
      <c r="D10" s="746">
        <v>2145000</v>
      </c>
      <c r="E10" s="746">
        <v>2145000</v>
      </c>
      <c r="F10" s="734">
        <v>0</v>
      </c>
      <c r="G10" s="734">
        <v>2145000</v>
      </c>
      <c r="H10" s="734"/>
      <c r="I10" s="44"/>
      <c r="J10" s="124"/>
      <c r="K10" s="736">
        <v>2145000</v>
      </c>
    </row>
    <row r="11" spans="1:11" ht="12.75" customHeight="1" x14ac:dyDescent="0.25">
      <c r="A11" s="777" t="s">
        <v>575</v>
      </c>
      <c r="B11" s="169"/>
      <c r="C11" s="749"/>
      <c r="D11" s="746"/>
      <c r="E11" s="746"/>
      <c r="F11" s="734"/>
      <c r="G11" s="734"/>
      <c r="H11" s="734"/>
      <c r="I11" s="44"/>
      <c r="J11" s="124"/>
      <c r="K11" s="736"/>
    </row>
    <row r="12" spans="1:11" ht="12.75" customHeight="1" x14ac:dyDescent="0.25">
      <c r="A12" s="777" t="s">
        <v>1006</v>
      </c>
      <c r="B12" s="169"/>
      <c r="C12" s="749">
        <v>15996000</v>
      </c>
      <c r="D12" s="746">
        <v>20000000</v>
      </c>
      <c r="E12" s="746">
        <v>20000000</v>
      </c>
      <c r="F12" s="734">
        <v>0</v>
      </c>
      <c r="G12" s="734">
        <v>12000000</v>
      </c>
      <c r="H12" s="734">
        <v>3000000</v>
      </c>
      <c r="I12" s="44"/>
      <c r="J12" s="124"/>
      <c r="K12" s="736">
        <v>20000000</v>
      </c>
    </row>
    <row r="13" spans="1:11" ht="12.75" customHeight="1" x14ac:dyDescent="0.25">
      <c r="A13" s="777" t="s">
        <v>1010</v>
      </c>
      <c r="B13" s="169"/>
      <c r="C13" s="749">
        <v>5510000</v>
      </c>
      <c r="D13" s="746">
        <v>5749000</v>
      </c>
      <c r="E13" s="746">
        <v>5749000</v>
      </c>
      <c r="F13" s="734">
        <v>0</v>
      </c>
      <c r="G13" s="734">
        <v>4026000</v>
      </c>
      <c r="H13" s="734"/>
      <c r="I13" s="44"/>
      <c r="J13" s="124"/>
      <c r="K13" s="736">
        <v>5749000</v>
      </c>
    </row>
    <row r="14" spans="1:11" ht="12.75" customHeight="1" x14ac:dyDescent="0.25">
      <c r="A14" s="777" t="s">
        <v>1009</v>
      </c>
      <c r="B14" s="169">
        <v>3</v>
      </c>
      <c r="C14" s="749"/>
      <c r="D14" s="746"/>
      <c r="E14" s="746"/>
      <c r="F14" s="734"/>
      <c r="G14" s="734"/>
      <c r="H14" s="734"/>
      <c r="I14" s="44">
        <f t="shared" si="2"/>
        <v>0</v>
      </c>
      <c r="J14" s="124" t="str">
        <f t="shared" si="1"/>
        <v/>
      </c>
      <c r="K14" s="736"/>
    </row>
    <row r="15" spans="1:11" ht="12.75" customHeight="1" x14ac:dyDescent="0.25">
      <c r="A15" s="777" t="s">
        <v>1558</v>
      </c>
      <c r="B15" s="169"/>
      <c r="C15" s="749">
        <v>3729690.07</v>
      </c>
      <c r="D15" s="746">
        <v>4713150</v>
      </c>
      <c r="E15" s="746">
        <v>4713150</v>
      </c>
      <c r="F15" s="734"/>
      <c r="G15" s="734"/>
      <c r="H15" s="734"/>
      <c r="I15" s="44">
        <f t="shared" si="2"/>
        <v>0</v>
      </c>
      <c r="J15" s="124" t="str">
        <f t="shared" si="1"/>
        <v/>
      </c>
      <c r="K15" s="736">
        <v>4713150</v>
      </c>
    </row>
    <row r="16" spans="1:11" ht="12.75" customHeight="1" x14ac:dyDescent="0.25">
      <c r="A16" s="777"/>
      <c r="B16" s="169"/>
      <c r="C16" s="749"/>
      <c r="D16" s="746"/>
      <c r="E16" s="734"/>
      <c r="F16" s="734"/>
      <c r="G16" s="734"/>
      <c r="H16" s="734"/>
      <c r="I16" s="44">
        <f t="shared" si="2"/>
        <v>0</v>
      </c>
      <c r="J16" s="124" t="str">
        <f t="shared" si="1"/>
        <v/>
      </c>
      <c r="K16" s="736"/>
    </row>
    <row r="17" spans="1:11" ht="12.75" customHeight="1" x14ac:dyDescent="0.25">
      <c r="A17" s="777"/>
      <c r="B17" s="169"/>
      <c r="C17" s="749"/>
      <c r="D17" s="746"/>
      <c r="E17" s="734"/>
      <c r="F17" s="734"/>
      <c r="G17" s="734"/>
      <c r="H17" s="734"/>
      <c r="I17" s="44">
        <f t="shared" si="2"/>
        <v>0</v>
      </c>
      <c r="J17" s="124" t="str">
        <f t="shared" si="1"/>
        <v/>
      </c>
      <c r="K17" s="736"/>
    </row>
    <row r="18" spans="1:11" ht="12.75" customHeight="1" x14ac:dyDescent="0.25">
      <c r="A18" s="777"/>
      <c r="B18" s="169"/>
      <c r="C18" s="749"/>
      <c r="D18" s="746"/>
      <c r="E18" s="734"/>
      <c r="F18" s="734"/>
      <c r="G18" s="734"/>
      <c r="H18" s="734"/>
      <c r="I18" s="44">
        <f t="shared" si="2"/>
        <v>0</v>
      </c>
      <c r="J18" s="124" t="str">
        <f t="shared" si="1"/>
        <v/>
      </c>
      <c r="K18" s="736"/>
    </row>
    <row r="19" spans="1:11" ht="12.75" customHeight="1" x14ac:dyDescent="0.25">
      <c r="A19" s="777" t="s">
        <v>543</v>
      </c>
      <c r="B19" s="169"/>
      <c r="C19" s="749"/>
      <c r="D19" s="746"/>
      <c r="E19" s="734"/>
      <c r="F19" s="734"/>
      <c r="G19" s="734"/>
      <c r="H19" s="734"/>
      <c r="I19" s="44">
        <f t="shared" si="2"/>
        <v>0</v>
      </c>
      <c r="J19" s="124" t="str">
        <f t="shared" si="1"/>
        <v/>
      </c>
      <c r="K19" s="736"/>
    </row>
    <row r="20" spans="1:11" ht="12.75" customHeight="1" x14ac:dyDescent="0.25">
      <c r="A20" s="106" t="s">
        <v>632</v>
      </c>
      <c r="B20" s="169"/>
      <c r="C20" s="516">
        <f t="shared" ref="C20:I20" si="3">SUM(C21:C26)</f>
        <v>0</v>
      </c>
      <c r="D20" s="475">
        <f t="shared" si="3"/>
        <v>0</v>
      </c>
      <c r="E20" s="430">
        <f t="shared" si="3"/>
        <v>0</v>
      </c>
      <c r="F20" s="430">
        <f t="shared" si="3"/>
        <v>0</v>
      </c>
      <c r="G20" s="430">
        <f t="shared" si="3"/>
        <v>0</v>
      </c>
      <c r="H20" s="430">
        <f t="shared" si="3"/>
        <v>0</v>
      </c>
      <c r="I20" s="430">
        <f t="shared" si="3"/>
        <v>0</v>
      </c>
      <c r="J20" s="554" t="str">
        <f t="shared" si="1"/>
        <v/>
      </c>
      <c r="K20" s="513">
        <f>SUM(K21:K26)</f>
        <v>0</v>
      </c>
    </row>
    <row r="21" spans="1:11" ht="12.75" customHeight="1" x14ac:dyDescent="0.25">
      <c r="A21" s="777"/>
      <c r="B21" s="169"/>
      <c r="C21" s="778"/>
      <c r="D21" s="779"/>
      <c r="E21" s="735"/>
      <c r="F21" s="735"/>
      <c r="G21" s="735"/>
      <c r="H21" s="735"/>
      <c r="I21" s="514">
        <f t="shared" ref="I21:I37" si="4">G21-H21</f>
        <v>0</v>
      </c>
      <c r="J21" s="553" t="str">
        <f t="shared" si="1"/>
        <v/>
      </c>
      <c r="K21" s="737"/>
    </row>
    <row r="22" spans="1:11" ht="12.75" customHeight="1" x14ac:dyDescent="0.25">
      <c r="A22" s="777"/>
      <c r="B22" s="169"/>
      <c r="C22" s="749"/>
      <c r="D22" s="746"/>
      <c r="E22" s="734"/>
      <c r="F22" s="734"/>
      <c r="G22" s="734"/>
      <c r="H22" s="734"/>
      <c r="I22" s="44"/>
      <c r="J22" s="124"/>
      <c r="K22" s="736"/>
    </row>
    <row r="23" spans="1:11" ht="12.75" customHeight="1" x14ac:dyDescent="0.25">
      <c r="A23" s="777"/>
      <c r="B23" s="169"/>
      <c r="C23" s="749"/>
      <c r="D23" s="746"/>
      <c r="E23" s="734"/>
      <c r="F23" s="734"/>
      <c r="G23" s="734"/>
      <c r="H23" s="734"/>
      <c r="I23" s="44">
        <f t="shared" si="4"/>
        <v>0</v>
      </c>
      <c r="J23" s="124" t="str">
        <f t="shared" si="1"/>
        <v/>
      </c>
      <c r="K23" s="736"/>
    </row>
    <row r="24" spans="1:11" ht="12.75" customHeight="1" x14ac:dyDescent="0.25">
      <c r="A24" s="777"/>
      <c r="B24" s="169">
        <v>4</v>
      </c>
      <c r="C24" s="749"/>
      <c r="D24" s="746"/>
      <c r="E24" s="734"/>
      <c r="F24" s="734"/>
      <c r="G24" s="734"/>
      <c r="H24" s="734"/>
      <c r="I24" s="44">
        <f t="shared" si="4"/>
        <v>0</v>
      </c>
      <c r="J24" s="124" t="str">
        <f t="shared" si="1"/>
        <v/>
      </c>
      <c r="K24" s="736"/>
    </row>
    <row r="25" spans="1:11" ht="12.75" customHeight="1" x14ac:dyDescent="0.25">
      <c r="A25" s="777"/>
      <c r="B25" s="169"/>
      <c r="C25" s="749"/>
      <c r="D25" s="746"/>
      <c r="E25" s="734"/>
      <c r="F25" s="734"/>
      <c r="G25" s="734"/>
      <c r="H25" s="734"/>
      <c r="I25" s="44">
        <f t="shared" si="4"/>
        <v>0</v>
      </c>
      <c r="J25" s="124" t="str">
        <f t="shared" si="1"/>
        <v/>
      </c>
      <c r="K25" s="736"/>
    </row>
    <row r="26" spans="1:11" ht="12.75" customHeight="1" x14ac:dyDescent="0.25">
      <c r="A26" s="777" t="s">
        <v>1558</v>
      </c>
      <c r="B26" s="169"/>
      <c r="C26" s="749"/>
      <c r="D26" s="746"/>
      <c r="E26" s="734"/>
      <c r="F26" s="734"/>
      <c r="G26" s="734"/>
      <c r="H26" s="734"/>
      <c r="I26" s="44">
        <f t="shared" si="4"/>
        <v>0</v>
      </c>
      <c r="J26" s="124" t="str">
        <f t="shared" si="1"/>
        <v/>
      </c>
      <c r="K26" s="736"/>
    </row>
    <row r="27" spans="1:11" ht="12.75" customHeight="1" x14ac:dyDescent="0.25">
      <c r="A27" s="106" t="s">
        <v>526</v>
      </c>
      <c r="B27" s="169"/>
      <c r="C27" s="516">
        <f t="shared" ref="C27:H27" si="5">SUM(C28:C29)</f>
        <v>0</v>
      </c>
      <c r="D27" s="475">
        <f t="shared" si="5"/>
        <v>0</v>
      </c>
      <c r="E27" s="430">
        <f t="shared" si="5"/>
        <v>0</v>
      </c>
      <c r="F27" s="430">
        <f t="shared" si="5"/>
        <v>0</v>
      </c>
      <c r="G27" s="430">
        <f t="shared" si="5"/>
        <v>0</v>
      </c>
      <c r="H27" s="430">
        <f t="shared" si="5"/>
        <v>0</v>
      </c>
      <c r="I27" s="514">
        <f t="shared" si="4"/>
        <v>0</v>
      </c>
      <c r="J27" s="553" t="str">
        <f t="shared" si="1"/>
        <v/>
      </c>
      <c r="K27" s="513">
        <f>SUM(K28:K29)</f>
        <v>0</v>
      </c>
    </row>
    <row r="28" spans="1:11" ht="12.75" customHeight="1" x14ac:dyDescent="0.25">
      <c r="A28" s="780" t="s">
        <v>1559</v>
      </c>
      <c r="B28" s="169"/>
      <c r="C28" s="782"/>
      <c r="D28" s="783"/>
      <c r="E28" s="738"/>
      <c r="F28" s="738"/>
      <c r="G28" s="738"/>
      <c r="H28" s="738"/>
      <c r="I28" s="514">
        <f t="shared" si="4"/>
        <v>0</v>
      </c>
      <c r="J28" s="553" t="str">
        <f t="shared" si="1"/>
        <v/>
      </c>
      <c r="K28" s="739"/>
    </row>
    <row r="29" spans="1:11" ht="12.75" customHeight="1" x14ac:dyDescent="0.25">
      <c r="A29" s="781"/>
      <c r="B29" s="169"/>
      <c r="C29" s="749"/>
      <c r="D29" s="746"/>
      <c r="E29" s="734"/>
      <c r="F29" s="734"/>
      <c r="G29" s="734"/>
      <c r="H29" s="734"/>
      <c r="I29" s="44">
        <f t="shared" si="4"/>
        <v>0</v>
      </c>
      <c r="J29" s="124" t="str">
        <f t="shared" si="1"/>
        <v/>
      </c>
      <c r="K29" s="736"/>
    </row>
    <row r="30" spans="1:11" ht="12.75" customHeight="1" x14ac:dyDescent="0.25">
      <c r="A30" s="106" t="s">
        <v>829</v>
      </c>
      <c r="B30" s="169"/>
      <c r="C30" s="516">
        <f t="shared" ref="C30:H30" si="6">SUM(C31:C37)</f>
        <v>0</v>
      </c>
      <c r="D30" s="475">
        <f t="shared" si="6"/>
        <v>0</v>
      </c>
      <c r="E30" s="430">
        <f t="shared" si="6"/>
        <v>0</v>
      </c>
      <c r="F30" s="430">
        <f t="shared" si="6"/>
        <v>0</v>
      </c>
      <c r="G30" s="430">
        <f t="shared" si="6"/>
        <v>0</v>
      </c>
      <c r="H30" s="430">
        <f t="shared" si="6"/>
        <v>0</v>
      </c>
      <c r="I30" s="514">
        <f t="shared" si="4"/>
        <v>0</v>
      </c>
      <c r="J30" s="553" t="str">
        <f t="shared" si="1"/>
        <v/>
      </c>
      <c r="K30" s="513">
        <f>SUM(K31:K37)</f>
        <v>0</v>
      </c>
    </row>
    <row r="31" spans="1:11" ht="12.75" customHeight="1" x14ac:dyDescent="0.25">
      <c r="A31" s="780" t="s">
        <v>1560</v>
      </c>
      <c r="B31" s="169"/>
      <c r="C31" s="782"/>
      <c r="D31" s="783"/>
      <c r="E31" s="738"/>
      <c r="F31" s="738"/>
      <c r="G31" s="738"/>
      <c r="H31" s="738"/>
      <c r="I31" s="514">
        <f t="shared" si="4"/>
        <v>0</v>
      </c>
      <c r="J31" s="553" t="str">
        <f t="shared" si="1"/>
        <v/>
      </c>
      <c r="K31" s="739"/>
    </row>
    <row r="32" spans="1:11" ht="12.75" customHeight="1" x14ac:dyDescent="0.25">
      <c r="A32" s="784"/>
      <c r="B32" s="169"/>
      <c r="C32" s="785"/>
      <c r="D32" s="786"/>
      <c r="E32" s="787"/>
      <c r="F32" s="787"/>
      <c r="G32" s="787"/>
      <c r="H32" s="787"/>
      <c r="I32" s="44"/>
      <c r="J32" s="124"/>
      <c r="K32" s="788"/>
    </row>
    <row r="33" spans="1:11" ht="12.75" customHeight="1" x14ac:dyDescent="0.25">
      <c r="A33" s="784"/>
      <c r="B33" s="169"/>
      <c r="C33" s="785"/>
      <c r="D33" s="786"/>
      <c r="E33" s="787"/>
      <c r="F33" s="787"/>
      <c r="G33" s="787"/>
      <c r="H33" s="787"/>
      <c r="I33" s="44"/>
      <c r="J33" s="124"/>
      <c r="K33" s="788"/>
    </row>
    <row r="34" spans="1:11" ht="12.75" customHeight="1" x14ac:dyDescent="0.25">
      <c r="A34" s="784"/>
      <c r="B34" s="169"/>
      <c r="C34" s="785"/>
      <c r="D34" s="786"/>
      <c r="E34" s="787"/>
      <c r="F34" s="787"/>
      <c r="G34" s="787"/>
      <c r="H34" s="787"/>
      <c r="I34" s="44"/>
      <c r="J34" s="124"/>
      <c r="K34" s="788"/>
    </row>
    <row r="35" spans="1:11" ht="12.75" customHeight="1" x14ac:dyDescent="0.25">
      <c r="A35" s="784"/>
      <c r="B35" s="169"/>
      <c r="C35" s="785"/>
      <c r="D35" s="786"/>
      <c r="E35" s="787"/>
      <c r="F35" s="787"/>
      <c r="G35" s="787"/>
      <c r="H35" s="787"/>
      <c r="I35" s="44"/>
      <c r="J35" s="124"/>
      <c r="K35" s="788"/>
    </row>
    <row r="36" spans="1:11" ht="12.75" customHeight="1" x14ac:dyDescent="0.25">
      <c r="A36" s="784"/>
      <c r="B36" s="169"/>
      <c r="C36" s="785"/>
      <c r="D36" s="786"/>
      <c r="E36" s="787"/>
      <c r="F36" s="787"/>
      <c r="G36" s="787"/>
      <c r="H36" s="787"/>
      <c r="I36" s="44"/>
      <c r="J36" s="124"/>
      <c r="K36" s="788"/>
    </row>
    <row r="37" spans="1:11" ht="12.75" customHeight="1" x14ac:dyDescent="0.25">
      <c r="A37" s="781"/>
      <c r="B37" s="169"/>
      <c r="C37" s="749"/>
      <c r="D37" s="746"/>
      <c r="E37" s="734"/>
      <c r="F37" s="734"/>
      <c r="G37" s="734"/>
      <c r="H37" s="734"/>
      <c r="I37" s="44">
        <f t="shared" si="4"/>
        <v>0</v>
      </c>
      <c r="J37" s="124" t="str">
        <f t="shared" si="1"/>
        <v/>
      </c>
      <c r="K37" s="736"/>
    </row>
    <row r="38" spans="1:11" ht="12.75" customHeight="1" x14ac:dyDescent="0.25">
      <c r="A38" s="559" t="s">
        <v>62</v>
      </c>
      <c r="B38" s="233">
        <v>5</v>
      </c>
      <c r="C38" s="243">
        <f t="shared" ref="C38:I38" si="7">C8+C20+C27+C30</f>
        <v>365724690.06999999</v>
      </c>
      <c r="D38" s="74">
        <f t="shared" si="7"/>
        <v>416300150</v>
      </c>
      <c r="E38" s="73">
        <f t="shared" si="7"/>
        <v>416300150</v>
      </c>
      <c r="F38" s="73">
        <f t="shared" si="7"/>
        <v>127772000</v>
      </c>
      <c r="G38" s="73">
        <f t="shared" si="7"/>
        <v>305815000</v>
      </c>
      <c r="H38" s="73">
        <f t="shared" si="7"/>
        <v>143977000</v>
      </c>
      <c r="I38" s="73">
        <f t="shared" si="7"/>
        <v>146667000</v>
      </c>
      <c r="J38" s="304">
        <f t="shared" si="1"/>
        <v>1.0186835397320406</v>
      </c>
      <c r="K38" s="145">
        <f>K8+K20+K27+K30</f>
        <v>416300150</v>
      </c>
    </row>
    <row r="39" spans="1:11" ht="5.0999999999999996" customHeight="1" x14ac:dyDescent="0.25">
      <c r="A39" s="42"/>
      <c r="B39" s="169"/>
      <c r="C39" s="134"/>
      <c r="D39" s="46"/>
      <c r="E39" s="44"/>
      <c r="F39" s="44"/>
      <c r="G39" s="44"/>
      <c r="H39" s="44"/>
      <c r="I39" s="44"/>
      <c r="J39" s="124"/>
      <c r="K39" s="144"/>
    </row>
    <row r="40" spans="1:11" ht="12.75" customHeight="1" x14ac:dyDescent="0.25">
      <c r="A40" s="550"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76150621</v>
      </c>
      <c r="D41" s="46">
        <f t="shared" si="8"/>
        <v>89549850</v>
      </c>
      <c r="E41" s="44">
        <f t="shared" si="8"/>
        <v>89549850</v>
      </c>
      <c r="F41" s="44">
        <f t="shared" si="8"/>
        <v>0</v>
      </c>
      <c r="G41" s="44">
        <f t="shared" si="8"/>
        <v>63718000</v>
      </c>
      <c r="H41" s="44">
        <f t="shared" si="8"/>
        <v>55389000</v>
      </c>
      <c r="I41" s="44">
        <f t="shared" si="8"/>
        <v>8329000</v>
      </c>
      <c r="J41" s="343">
        <f t="shared" ref="J41:J71" si="9">IF(I41=0,"",I41/H41)</f>
        <v>0.15037281770748703</v>
      </c>
      <c r="K41" s="144">
        <f t="shared" si="8"/>
        <v>89549850</v>
      </c>
    </row>
    <row r="42" spans="1:11" ht="12.75" customHeight="1" x14ac:dyDescent="0.25">
      <c r="A42" s="777" t="s">
        <v>1561</v>
      </c>
      <c r="B42" s="169"/>
      <c r="C42" s="778">
        <v>76150621</v>
      </c>
      <c r="D42" s="779">
        <v>89549850</v>
      </c>
      <c r="E42" s="779">
        <v>89549850</v>
      </c>
      <c r="F42" s="735">
        <v>0</v>
      </c>
      <c r="G42" s="735">
        <v>63718000</v>
      </c>
      <c r="H42" s="735">
        <v>55389000</v>
      </c>
      <c r="I42" s="514">
        <f t="shared" ref="I42:I51" si="10">G42-H42</f>
        <v>8329000</v>
      </c>
      <c r="J42" s="553">
        <f t="shared" si="9"/>
        <v>0.15037281770748703</v>
      </c>
      <c r="K42" s="737">
        <v>89549850</v>
      </c>
    </row>
    <row r="43" spans="1:11" ht="12.75" customHeight="1" x14ac:dyDescent="0.25">
      <c r="A43" s="777" t="s">
        <v>1016</v>
      </c>
      <c r="B43" s="169"/>
      <c r="C43" s="749"/>
      <c r="D43" s="746"/>
      <c r="E43" s="734"/>
      <c r="F43" s="734"/>
      <c r="G43" s="734"/>
      <c r="H43" s="734"/>
      <c r="I43" s="44"/>
      <c r="J43" s="124"/>
      <c r="K43" s="736"/>
    </row>
    <row r="44" spans="1:11" ht="12.75" customHeight="1" x14ac:dyDescent="0.25">
      <c r="A44" s="777"/>
      <c r="B44" s="169"/>
      <c r="C44" s="749"/>
      <c r="D44" s="746"/>
      <c r="E44" s="734"/>
      <c r="F44" s="734"/>
      <c r="G44" s="734"/>
      <c r="H44" s="734"/>
      <c r="I44" s="44"/>
      <c r="J44" s="124"/>
      <c r="K44" s="736"/>
    </row>
    <row r="45" spans="1:11" ht="12.75" customHeight="1" x14ac:dyDescent="0.25">
      <c r="A45" s="777"/>
      <c r="B45" s="169"/>
      <c r="C45" s="749"/>
      <c r="D45" s="746"/>
      <c r="E45" s="734"/>
      <c r="F45" s="734"/>
      <c r="G45" s="734"/>
      <c r="H45" s="734"/>
      <c r="I45" s="44"/>
      <c r="J45" s="124"/>
      <c r="K45" s="736"/>
    </row>
    <row r="46" spans="1:11" ht="12.75" customHeight="1" x14ac:dyDescent="0.25">
      <c r="A46" s="777"/>
      <c r="B46" s="169"/>
      <c r="C46" s="749"/>
      <c r="D46" s="746"/>
      <c r="E46" s="734"/>
      <c r="F46" s="734"/>
      <c r="G46" s="734"/>
      <c r="H46" s="734"/>
      <c r="I46" s="44"/>
      <c r="J46" s="124"/>
      <c r="K46" s="736"/>
    </row>
    <row r="47" spans="1:11" ht="12.75" customHeight="1" x14ac:dyDescent="0.25">
      <c r="A47" s="777"/>
      <c r="B47" s="169"/>
      <c r="C47" s="749"/>
      <c r="D47" s="746"/>
      <c r="E47" s="734"/>
      <c r="F47" s="734"/>
      <c r="G47" s="734"/>
      <c r="H47" s="734"/>
      <c r="I47" s="44">
        <f t="shared" si="10"/>
        <v>0</v>
      </c>
      <c r="J47" s="124" t="str">
        <f t="shared" si="9"/>
        <v/>
      </c>
      <c r="K47" s="736"/>
    </row>
    <row r="48" spans="1:11" ht="12.75" customHeight="1" x14ac:dyDescent="0.25">
      <c r="A48" s="777"/>
      <c r="B48" s="169"/>
      <c r="C48" s="749"/>
      <c r="D48" s="746"/>
      <c r="E48" s="734"/>
      <c r="F48" s="734"/>
      <c r="G48" s="734"/>
      <c r="H48" s="734"/>
      <c r="I48" s="44">
        <f t="shared" si="10"/>
        <v>0</v>
      </c>
      <c r="J48" s="124" t="str">
        <f t="shared" si="9"/>
        <v/>
      </c>
      <c r="K48" s="736"/>
    </row>
    <row r="49" spans="1:11" ht="12.75" customHeight="1" x14ac:dyDescent="0.25">
      <c r="A49" s="777"/>
      <c r="B49" s="169"/>
      <c r="C49" s="749"/>
      <c r="D49" s="746"/>
      <c r="E49" s="734"/>
      <c r="F49" s="734"/>
      <c r="G49" s="734"/>
      <c r="H49" s="734"/>
      <c r="I49" s="44">
        <f t="shared" si="10"/>
        <v>0</v>
      </c>
      <c r="J49" s="124" t="str">
        <f t="shared" si="9"/>
        <v/>
      </c>
      <c r="K49" s="736"/>
    </row>
    <row r="50" spans="1:11" ht="12.75" customHeight="1" x14ac:dyDescent="0.25">
      <c r="A50" s="777"/>
      <c r="B50" s="169"/>
      <c r="C50" s="749"/>
      <c r="D50" s="746"/>
      <c r="E50" s="734"/>
      <c r="F50" s="734"/>
      <c r="G50" s="734"/>
      <c r="H50" s="734"/>
      <c r="I50" s="44">
        <f t="shared" si="10"/>
        <v>0</v>
      </c>
      <c r="J50" s="124" t="str">
        <f t="shared" si="9"/>
        <v/>
      </c>
      <c r="K50" s="736"/>
    </row>
    <row r="51" spans="1:11" ht="12.75" customHeight="1" x14ac:dyDescent="0.25">
      <c r="A51" s="777" t="s">
        <v>544</v>
      </c>
      <c r="B51" s="169"/>
      <c r="C51" s="749"/>
      <c r="D51" s="746"/>
      <c r="E51" s="734"/>
      <c r="F51" s="734"/>
      <c r="G51" s="734"/>
      <c r="H51" s="734"/>
      <c r="I51" s="44">
        <f t="shared" si="10"/>
        <v>0</v>
      </c>
      <c r="J51" s="124" t="str">
        <f t="shared" si="9"/>
        <v/>
      </c>
      <c r="K51" s="736"/>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3" t="str">
        <f>IF(I52=0,"",I52/H52)</f>
        <v/>
      </c>
      <c r="K52" s="513">
        <f>SUM(K53:K58)</f>
        <v>0</v>
      </c>
    </row>
    <row r="53" spans="1:11" ht="12.75" customHeight="1" x14ac:dyDescent="0.25">
      <c r="A53" s="780" t="s">
        <v>1562</v>
      </c>
      <c r="B53" s="169"/>
      <c r="C53" s="782"/>
      <c r="D53" s="783"/>
      <c r="E53" s="738"/>
      <c r="F53" s="738"/>
      <c r="G53" s="738"/>
      <c r="H53" s="738"/>
      <c r="I53" s="514">
        <f t="shared" si="12"/>
        <v>0</v>
      </c>
      <c r="J53" s="553" t="str">
        <f>IF(I53=0,"",I53/H53)</f>
        <v/>
      </c>
      <c r="K53" s="739"/>
    </row>
    <row r="54" spans="1:11" ht="12.75" customHeight="1" x14ac:dyDescent="0.25">
      <c r="A54" s="784"/>
      <c r="B54" s="169"/>
      <c r="C54" s="785"/>
      <c r="D54" s="786"/>
      <c r="E54" s="787"/>
      <c r="F54" s="787"/>
      <c r="G54" s="787"/>
      <c r="H54" s="787"/>
      <c r="I54" s="44"/>
      <c r="J54" s="124"/>
      <c r="K54" s="788"/>
    </row>
    <row r="55" spans="1:11" ht="12.75" customHeight="1" x14ac:dyDescent="0.25">
      <c r="A55" s="784"/>
      <c r="B55" s="169"/>
      <c r="C55" s="785"/>
      <c r="D55" s="786"/>
      <c r="E55" s="787"/>
      <c r="F55" s="787"/>
      <c r="G55" s="787"/>
      <c r="H55" s="787"/>
      <c r="I55" s="44"/>
      <c r="J55" s="124"/>
      <c r="K55" s="788"/>
    </row>
    <row r="56" spans="1:11" ht="12.75" customHeight="1" x14ac:dyDescent="0.25">
      <c r="A56" s="784"/>
      <c r="B56" s="169"/>
      <c r="C56" s="785"/>
      <c r="D56" s="786"/>
      <c r="E56" s="787"/>
      <c r="F56" s="787"/>
      <c r="G56" s="787"/>
      <c r="H56" s="787"/>
      <c r="I56" s="44"/>
      <c r="J56" s="124"/>
      <c r="K56" s="788"/>
    </row>
    <row r="57" spans="1:11" ht="12.75" customHeight="1" x14ac:dyDescent="0.25">
      <c r="A57" s="784"/>
      <c r="B57" s="169"/>
      <c r="C57" s="785"/>
      <c r="D57" s="786"/>
      <c r="E57" s="787"/>
      <c r="F57" s="787"/>
      <c r="G57" s="787"/>
      <c r="H57" s="787"/>
      <c r="I57" s="44"/>
      <c r="J57" s="124"/>
      <c r="K57" s="788"/>
    </row>
    <row r="58" spans="1:11" ht="12.75" customHeight="1" x14ac:dyDescent="0.25">
      <c r="A58" s="781"/>
      <c r="B58" s="169"/>
      <c r="C58" s="749"/>
      <c r="D58" s="746"/>
      <c r="E58" s="734"/>
      <c r="F58" s="734"/>
      <c r="G58" s="734"/>
      <c r="H58" s="734"/>
      <c r="I58" s="44">
        <f t="shared" si="12"/>
        <v>0</v>
      </c>
      <c r="J58" s="124" t="str">
        <f t="shared" si="9"/>
        <v/>
      </c>
      <c r="K58" s="736"/>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3" t="str">
        <f t="shared" si="9"/>
        <v/>
      </c>
      <c r="K59" s="513">
        <f>SUM(K60:K61)</f>
        <v>0</v>
      </c>
    </row>
    <row r="60" spans="1:11" ht="12.75" customHeight="1" x14ac:dyDescent="0.25">
      <c r="A60" s="780" t="s">
        <v>1559</v>
      </c>
      <c r="B60" s="169"/>
      <c r="C60" s="782"/>
      <c r="D60" s="783"/>
      <c r="E60" s="738"/>
      <c r="F60" s="738"/>
      <c r="G60" s="738"/>
      <c r="H60" s="738"/>
      <c r="I60" s="514">
        <f t="shared" si="12"/>
        <v>0</v>
      </c>
      <c r="J60" s="553" t="str">
        <f t="shared" si="9"/>
        <v/>
      </c>
      <c r="K60" s="739"/>
    </row>
    <row r="61" spans="1:11" ht="12.75" customHeight="1" x14ac:dyDescent="0.25">
      <c r="A61" s="781"/>
      <c r="B61" s="169"/>
      <c r="C61" s="749"/>
      <c r="D61" s="746"/>
      <c r="E61" s="734"/>
      <c r="F61" s="734"/>
      <c r="G61" s="734"/>
      <c r="H61" s="734"/>
      <c r="I61" s="44">
        <f t="shared" si="12"/>
        <v>0</v>
      </c>
      <c r="J61" s="124" t="str">
        <f t="shared" si="9"/>
        <v/>
      </c>
      <c r="K61" s="736"/>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3" t="str">
        <f t="shared" si="9"/>
        <v/>
      </c>
      <c r="K62" s="513">
        <f>SUM(K63:K68)</f>
        <v>0</v>
      </c>
    </row>
    <row r="63" spans="1:11" ht="12.75" customHeight="1" x14ac:dyDescent="0.25">
      <c r="A63" s="780" t="s">
        <v>1563</v>
      </c>
      <c r="B63" s="169"/>
      <c r="C63" s="782"/>
      <c r="D63" s="783"/>
      <c r="E63" s="738"/>
      <c r="F63" s="738"/>
      <c r="G63" s="738"/>
      <c r="H63" s="738"/>
      <c r="I63" s="514">
        <f t="shared" si="12"/>
        <v>0</v>
      </c>
      <c r="J63" s="553" t="str">
        <f>IF(I63=0,"",I63/H63)</f>
        <v/>
      </c>
      <c r="K63" s="739"/>
    </row>
    <row r="64" spans="1:11" ht="12.75" customHeight="1" x14ac:dyDescent="0.25">
      <c r="A64" s="784"/>
      <c r="B64" s="169"/>
      <c r="C64" s="785"/>
      <c r="D64" s="786"/>
      <c r="E64" s="787"/>
      <c r="F64" s="787"/>
      <c r="G64" s="787"/>
      <c r="H64" s="787"/>
      <c r="I64" s="44"/>
      <c r="J64" s="124"/>
      <c r="K64" s="788"/>
    </row>
    <row r="65" spans="1:11" ht="12.75" customHeight="1" x14ac:dyDescent="0.25">
      <c r="A65" s="784"/>
      <c r="B65" s="169"/>
      <c r="C65" s="785"/>
      <c r="D65" s="786"/>
      <c r="E65" s="787"/>
      <c r="F65" s="787"/>
      <c r="G65" s="787"/>
      <c r="H65" s="787"/>
      <c r="I65" s="44"/>
      <c r="J65" s="124"/>
      <c r="K65" s="788"/>
    </row>
    <row r="66" spans="1:11" ht="12.75" customHeight="1" x14ac:dyDescent="0.25">
      <c r="A66" s="784"/>
      <c r="B66" s="169"/>
      <c r="C66" s="785"/>
      <c r="D66" s="786"/>
      <c r="E66" s="787"/>
      <c r="F66" s="787"/>
      <c r="G66" s="787"/>
      <c r="H66" s="787"/>
      <c r="I66" s="44"/>
      <c r="J66" s="124"/>
      <c r="K66" s="788"/>
    </row>
    <row r="67" spans="1:11" ht="12.75" customHeight="1" x14ac:dyDescent="0.25">
      <c r="A67" s="784"/>
      <c r="B67" s="169"/>
      <c r="C67" s="785"/>
      <c r="D67" s="786"/>
      <c r="E67" s="787"/>
      <c r="F67" s="787"/>
      <c r="G67" s="787"/>
      <c r="H67" s="787"/>
      <c r="I67" s="44"/>
      <c r="J67" s="124"/>
      <c r="K67" s="788"/>
    </row>
    <row r="68" spans="1:11" ht="12.75" customHeight="1" x14ac:dyDescent="0.25">
      <c r="A68" s="781"/>
      <c r="B68" s="169"/>
      <c r="C68" s="749"/>
      <c r="D68" s="746"/>
      <c r="E68" s="734"/>
      <c r="F68" s="734"/>
      <c r="G68" s="734"/>
      <c r="H68" s="734"/>
      <c r="I68" s="44">
        <f t="shared" si="12"/>
        <v>0</v>
      </c>
      <c r="J68" s="124" t="str">
        <f t="shared" si="9"/>
        <v/>
      </c>
      <c r="K68" s="736"/>
    </row>
    <row r="69" spans="1:11" ht="12.75" customHeight="1" x14ac:dyDescent="0.25">
      <c r="A69" s="558" t="s">
        <v>64</v>
      </c>
      <c r="B69" s="309">
        <v>5</v>
      </c>
      <c r="C69" s="516">
        <f>C41+C52+C59+C62</f>
        <v>76150621</v>
      </c>
      <c r="D69" s="475">
        <f t="shared" ref="D69:K69" si="15">D41+D52+D59+D62</f>
        <v>89549850</v>
      </c>
      <c r="E69" s="430">
        <f t="shared" si="15"/>
        <v>89549850</v>
      </c>
      <c r="F69" s="430">
        <f t="shared" si="15"/>
        <v>0</v>
      </c>
      <c r="G69" s="430">
        <f t="shared" si="15"/>
        <v>63718000</v>
      </c>
      <c r="H69" s="430">
        <f t="shared" si="15"/>
        <v>55389000</v>
      </c>
      <c r="I69" s="430">
        <f t="shared" si="15"/>
        <v>8329000</v>
      </c>
      <c r="J69" s="554">
        <f t="shared" si="9"/>
        <v>0.15037281770748703</v>
      </c>
      <c r="K69" s="513">
        <f t="shared" si="15"/>
        <v>89549850</v>
      </c>
    </row>
    <row r="70" spans="1:11" ht="5.0999999999999996" customHeight="1" x14ac:dyDescent="0.25">
      <c r="A70" s="555"/>
      <c r="B70" s="248"/>
      <c r="C70" s="249"/>
      <c r="D70" s="556"/>
      <c r="E70" s="99"/>
      <c r="F70" s="99"/>
      <c r="G70" s="99"/>
      <c r="H70" s="99"/>
      <c r="I70" s="99"/>
      <c r="J70" s="324"/>
      <c r="K70" s="195"/>
    </row>
    <row r="71" spans="1:11" ht="12.75" customHeight="1" x14ac:dyDescent="0.25">
      <c r="A71" s="557" t="s">
        <v>65</v>
      </c>
      <c r="B71" s="236">
        <v>5</v>
      </c>
      <c r="C71" s="160">
        <f t="shared" ref="C71:K71" si="16">C38+C69</f>
        <v>441875311.06999999</v>
      </c>
      <c r="D71" s="305">
        <f t="shared" si="16"/>
        <v>505850000</v>
      </c>
      <c r="E71" s="306">
        <f t="shared" si="16"/>
        <v>505850000</v>
      </c>
      <c r="F71" s="306">
        <f t="shared" si="16"/>
        <v>127772000</v>
      </c>
      <c r="G71" s="306">
        <f t="shared" si="16"/>
        <v>369533000</v>
      </c>
      <c r="H71" s="306">
        <f t="shared" si="16"/>
        <v>199366000</v>
      </c>
      <c r="I71" s="306">
        <f t="shared" si="16"/>
        <v>154996000</v>
      </c>
      <c r="J71" s="307">
        <f t="shared" si="9"/>
        <v>0.77744449906202662</v>
      </c>
      <c r="K71" s="308">
        <f t="shared" si="16"/>
        <v>505850000</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986</v>
      </c>
      <c r="B73" s="58"/>
      <c r="C73" s="62"/>
      <c r="D73" s="62"/>
      <c r="E73" s="62"/>
      <c r="F73" s="62"/>
      <c r="G73" s="62"/>
      <c r="H73" s="62"/>
      <c r="I73" s="62"/>
      <c r="J73" s="62"/>
      <c r="K73" s="62"/>
    </row>
    <row r="74" spans="1:11" ht="12.75" customHeight="1" x14ac:dyDescent="0.25">
      <c r="A74" s="80" t="s">
        <v>938</v>
      </c>
      <c r="B74" s="58"/>
      <c r="C74" s="62"/>
      <c r="D74" s="62"/>
      <c r="E74" s="62"/>
      <c r="F74" s="62"/>
      <c r="G74" s="62"/>
      <c r="H74" s="62"/>
      <c r="I74" s="62"/>
      <c r="J74" s="62"/>
      <c r="K74" s="62"/>
    </row>
    <row r="75" spans="1:11" ht="12.75" customHeight="1" x14ac:dyDescent="0.25">
      <c r="A75" s="80" t="s">
        <v>828</v>
      </c>
      <c r="B75" s="58"/>
      <c r="C75" s="62"/>
      <c r="D75" s="62"/>
      <c r="E75" s="62"/>
      <c r="F75" s="62"/>
      <c r="G75" s="62"/>
      <c r="H75" s="62"/>
      <c r="I75" s="62"/>
      <c r="J75" s="62"/>
      <c r="K75" s="62"/>
    </row>
    <row r="76" spans="1:11" ht="12.75" customHeight="1" x14ac:dyDescent="0.25">
      <c r="A76" s="60" t="s">
        <v>525</v>
      </c>
      <c r="B76" s="58"/>
      <c r="C76" s="62"/>
      <c r="D76" s="62"/>
      <c r="E76" s="62"/>
      <c r="F76" s="62"/>
      <c r="G76" s="62"/>
      <c r="H76" s="62"/>
      <c r="I76" s="62"/>
      <c r="J76" s="62"/>
      <c r="K76" s="62"/>
    </row>
    <row r="77" spans="1:11" ht="12.75" customHeight="1" x14ac:dyDescent="0.25">
      <c r="A77" s="22" t="s">
        <v>611</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5"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0"/>
  <sheetViews>
    <sheetView showGridLines="0" showZeros="0" zoomScaleNormal="100" workbookViewId="0">
      <pane xSplit="1" ySplit="4" topLeftCell="B26" activePane="bottomRight" state="frozen"/>
      <selection pane="topRight"/>
      <selection pane="bottomLeft"/>
      <selection pane="bottomRight" activeCell="F32" sqref="F32:G32"/>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"&amp;S71M&amp; " - "&amp;Head57</f>
        <v>LIM333 Greater Tzaneen - Supporting Table SC7(1) Monthly Budget Statement - transfers and grant expenditure  - M06 December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8"/>
      <c r="E4" s="294"/>
      <c r="F4" s="295"/>
      <c r="G4" s="295"/>
      <c r="H4" s="295"/>
      <c r="I4" s="295"/>
      <c r="J4" s="296" t="s">
        <v>583</v>
      </c>
      <c r="K4" s="297"/>
    </row>
    <row r="5" spans="1:11" ht="12.75" customHeight="1" x14ac:dyDescent="0.25">
      <c r="A5" s="136" t="s">
        <v>545</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SUM(C9:C15)</f>
        <v>359333373.06999999</v>
      </c>
      <c r="D8" s="51">
        <f t="shared" si="0"/>
        <v>416300150</v>
      </c>
      <c r="E8" s="50">
        <f t="shared" si="0"/>
        <v>416300150</v>
      </c>
      <c r="F8" s="50">
        <f t="shared" si="0"/>
        <v>2154222.0999999996</v>
      </c>
      <c r="G8" s="50">
        <f t="shared" si="0"/>
        <v>169261529.98000002</v>
      </c>
      <c r="H8" s="50">
        <f t="shared" si="0"/>
        <v>141792532.32999998</v>
      </c>
      <c r="I8" s="50">
        <f t="shared" si="0"/>
        <v>27468997.649999999</v>
      </c>
      <c r="J8" s="343">
        <f t="shared" ref="J8:J28" si="1">IF(I8=0,"",I8/H8)</f>
        <v>0.19372668784890726</v>
      </c>
      <c r="K8" s="194">
        <f>SUM(K9:K15)</f>
        <v>416300150</v>
      </c>
    </row>
    <row r="9" spans="1:11" x14ac:dyDescent="0.25">
      <c r="A9" s="396" t="str">
        <f>'SC6'!A9</f>
        <v>Local Government Equitable Share</v>
      </c>
      <c r="B9" s="169"/>
      <c r="C9" s="778">
        <v>338344000</v>
      </c>
      <c r="D9" s="779">
        <v>383693000</v>
      </c>
      <c r="E9" s="779">
        <v>383693000</v>
      </c>
      <c r="F9" s="735"/>
      <c r="G9" s="735">
        <v>159872000</v>
      </c>
      <c r="H9" s="735">
        <v>140977000</v>
      </c>
      <c r="I9" s="514">
        <f t="shared" ref="I9:I15" si="2">G9-H9</f>
        <v>18895000</v>
      </c>
      <c r="J9" s="553">
        <f t="shared" si="1"/>
        <v>0.13402895507777865</v>
      </c>
      <c r="K9" s="737">
        <v>383693000</v>
      </c>
    </row>
    <row r="10" spans="1:11" ht="12.75" customHeight="1" x14ac:dyDescent="0.25">
      <c r="A10" s="396" t="str">
        <f>'SC6'!A10</f>
        <v xml:space="preserve">Finance Management </v>
      </c>
      <c r="B10" s="169"/>
      <c r="C10" s="749">
        <v>2145000</v>
      </c>
      <c r="D10" s="746">
        <v>2145000</v>
      </c>
      <c r="E10" s="746">
        <v>2145000</v>
      </c>
      <c r="F10" s="734">
        <v>195192.92</v>
      </c>
      <c r="G10" s="734">
        <v>822581.22000000009</v>
      </c>
      <c r="H10" s="734">
        <v>112924.48000000001</v>
      </c>
      <c r="I10" s="44">
        <f t="shared" si="2"/>
        <v>709656.74000000011</v>
      </c>
      <c r="J10" s="124">
        <f t="shared" si="1"/>
        <v>6.2843480882090406</v>
      </c>
      <c r="K10" s="736">
        <v>2145000</v>
      </c>
    </row>
    <row r="11" spans="1:11" ht="12.75" customHeight="1" x14ac:dyDescent="0.25">
      <c r="A11" s="396" t="str">
        <f>'SC6'!A11</f>
        <v>Municipal Systems Improvement</v>
      </c>
      <c r="B11" s="169"/>
      <c r="C11" s="749"/>
      <c r="D11" s="746"/>
      <c r="E11" s="746"/>
      <c r="F11" s="734"/>
      <c r="G11" s="734"/>
      <c r="H11" s="734"/>
      <c r="I11" s="44">
        <f t="shared" si="2"/>
        <v>0</v>
      </c>
      <c r="J11" s="124" t="str">
        <f t="shared" si="1"/>
        <v/>
      </c>
      <c r="K11" s="736"/>
    </row>
    <row r="12" spans="1:11" ht="12.75" customHeight="1" x14ac:dyDescent="0.25">
      <c r="A12" s="396" t="str">
        <f>'SC6'!A12</f>
        <v>Integrated National Electrification Programme</v>
      </c>
      <c r="B12" s="169"/>
      <c r="C12" s="749">
        <v>9604683</v>
      </c>
      <c r="D12" s="746">
        <v>20000000</v>
      </c>
      <c r="E12" s="746">
        <v>20000000</v>
      </c>
      <c r="F12" s="734">
        <v>1602240.5</v>
      </c>
      <c r="G12" s="734">
        <v>4270593.12</v>
      </c>
      <c r="H12" s="734"/>
      <c r="I12" s="44">
        <f t="shared" si="2"/>
        <v>4270593.12</v>
      </c>
      <c r="J12" s="124" t="e">
        <f t="shared" si="1"/>
        <v>#DIV/0!</v>
      </c>
      <c r="K12" s="736">
        <v>20000000</v>
      </c>
    </row>
    <row r="13" spans="1:11" ht="12.75" customHeight="1" x14ac:dyDescent="0.25">
      <c r="A13" s="396" t="str">
        <f>'SC6'!A13</f>
        <v>EPWP Incentive</v>
      </c>
      <c r="B13" s="169"/>
      <c r="C13" s="749">
        <v>5510000</v>
      </c>
      <c r="D13" s="746">
        <v>5749000</v>
      </c>
      <c r="E13" s="746">
        <v>5749000</v>
      </c>
      <c r="F13" s="734">
        <v>0</v>
      </c>
      <c r="G13" s="734">
        <v>2080942.8</v>
      </c>
      <c r="H13" s="734"/>
      <c r="I13" s="44">
        <f t="shared" si="2"/>
        <v>2080942.8</v>
      </c>
      <c r="J13" s="124" t="e">
        <f t="shared" si="1"/>
        <v>#DIV/0!</v>
      </c>
      <c r="K13" s="736">
        <v>5749000</v>
      </c>
    </row>
    <row r="14" spans="1:11" ht="12.75" customHeight="1" x14ac:dyDescent="0.25">
      <c r="A14" s="396" t="str">
        <f>'SC6'!A14</f>
        <v>Electricity Demand Side Management</v>
      </c>
      <c r="B14" s="169"/>
      <c r="C14" s="749"/>
      <c r="D14" s="746"/>
      <c r="E14" s="746"/>
      <c r="F14" s="734"/>
      <c r="G14" s="734"/>
      <c r="H14" s="734"/>
      <c r="I14" s="44">
        <f t="shared" si="2"/>
        <v>0</v>
      </c>
      <c r="J14" s="124" t="str">
        <f t="shared" si="1"/>
        <v/>
      </c>
      <c r="K14" s="736"/>
    </row>
    <row r="15" spans="1:11" ht="12.75" customHeight="1" x14ac:dyDescent="0.25">
      <c r="A15" s="396" t="str">
        <f>'SC6'!A19</f>
        <v>Other transfers and grants [insert description]</v>
      </c>
      <c r="B15" s="169"/>
      <c r="C15" s="749">
        <v>3729690.07</v>
      </c>
      <c r="D15" s="746">
        <v>4713150</v>
      </c>
      <c r="E15" s="746">
        <v>4713150</v>
      </c>
      <c r="F15" s="734">
        <v>356788.67999999993</v>
      </c>
      <c r="G15" s="734">
        <v>2215412.84</v>
      </c>
      <c r="H15" s="734">
        <v>702607.85000000009</v>
      </c>
      <c r="I15" s="44">
        <f t="shared" si="2"/>
        <v>1512804.9899999998</v>
      </c>
      <c r="J15" s="124">
        <f t="shared" si="1"/>
        <v>2.1531285054671669</v>
      </c>
      <c r="K15" s="736">
        <v>4713150</v>
      </c>
    </row>
    <row r="16" spans="1:11" ht="12.75" customHeight="1" x14ac:dyDescent="0.25">
      <c r="A16" s="397" t="str">
        <f>'SC6'!A20</f>
        <v>Provincial Government:</v>
      </c>
      <c r="B16" s="169"/>
      <c r="C16" s="516">
        <f t="shared" ref="C16:I16" si="3">SUM(C17:C21)</f>
        <v>0</v>
      </c>
      <c r="D16" s="475">
        <f t="shared" si="3"/>
        <v>0</v>
      </c>
      <c r="E16" s="430">
        <f t="shared" si="3"/>
        <v>0</v>
      </c>
      <c r="F16" s="430">
        <f t="shared" si="3"/>
        <v>0</v>
      </c>
      <c r="G16" s="430">
        <f t="shared" si="3"/>
        <v>0</v>
      </c>
      <c r="H16" s="430">
        <f t="shared" si="3"/>
        <v>0</v>
      </c>
      <c r="I16" s="430">
        <f t="shared" si="3"/>
        <v>0</v>
      </c>
      <c r="J16" s="554" t="str">
        <f t="shared" si="1"/>
        <v/>
      </c>
      <c r="K16" s="513">
        <f>SUM(K17:K21)</f>
        <v>0</v>
      </c>
    </row>
    <row r="17" spans="1:11" ht="12.75" customHeight="1" x14ac:dyDescent="0.25">
      <c r="A17" s="396">
        <f>'SC6'!A21</f>
        <v>0</v>
      </c>
      <c r="B17" s="169"/>
      <c r="C17" s="778"/>
      <c r="D17" s="779"/>
      <c r="E17" s="735"/>
      <c r="F17" s="735"/>
      <c r="G17" s="735"/>
      <c r="H17" s="735"/>
      <c r="I17" s="514">
        <f t="shared" ref="I17:I27" si="4">G17-H17</f>
        <v>0</v>
      </c>
      <c r="J17" s="553" t="str">
        <f t="shared" si="1"/>
        <v/>
      </c>
      <c r="K17" s="737"/>
    </row>
    <row r="18" spans="1:11" ht="12.75" customHeight="1" x14ac:dyDescent="0.25">
      <c r="A18" s="396">
        <f>'SC6'!A23</f>
        <v>0</v>
      </c>
      <c r="B18" s="169"/>
      <c r="C18" s="749"/>
      <c r="D18" s="746"/>
      <c r="E18" s="734"/>
      <c r="F18" s="734"/>
      <c r="G18" s="734"/>
      <c r="H18" s="734"/>
      <c r="I18" s="44">
        <f t="shared" si="4"/>
        <v>0</v>
      </c>
      <c r="J18" s="124" t="str">
        <f t="shared" si="1"/>
        <v/>
      </c>
      <c r="K18" s="736"/>
    </row>
    <row r="19" spans="1:11" ht="12.75" customHeight="1" x14ac:dyDescent="0.25">
      <c r="A19" s="396">
        <f>'SC6'!A24</f>
        <v>0</v>
      </c>
      <c r="B19" s="169"/>
      <c r="C19" s="749"/>
      <c r="D19" s="746"/>
      <c r="E19" s="734"/>
      <c r="F19" s="734"/>
      <c r="G19" s="734"/>
      <c r="H19" s="734"/>
      <c r="I19" s="44">
        <f t="shared" si="4"/>
        <v>0</v>
      </c>
      <c r="J19" s="124" t="str">
        <f t="shared" si="1"/>
        <v/>
      </c>
      <c r="K19" s="736"/>
    </row>
    <row r="20" spans="1:11" ht="12.75" customHeight="1" x14ac:dyDescent="0.25">
      <c r="A20" s="396">
        <f>'SC6'!A25</f>
        <v>0</v>
      </c>
      <c r="B20" s="169"/>
      <c r="C20" s="749"/>
      <c r="D20" s="746"/>
      <c r="E20" s="734"/>
      <c r="F20" s="734"/>
      <c r="G20" s="734"/>
      <c r="H20" s="734"/>
      <c r="I20" s="44">
        <f t="shared" si="4"/>
        <v>0</v>
      </c>
      <c r="J20" s="124" t="str">
        <f t="shared" si="1"/>
        <v/>
      </c>
      <c r="K20" s="736"/>
    </row>
    <row r="21" spans="1:11" ht="12.75" customHeight="1" x14ac:dyDescent="0.25">
      <c r="A21" s="396" t="str">
        <f>'SC6'!A26</f>
        <v>MIG Operation/NDPG</v>
      </c>
      <c r="B21" s="169"/>
      <c r="C21" s="749"/>
      <c r="D21" s="746"/>
      <c r="E21" s="734"/>
      <c r="F21" s="734"/>
      <c r="G21" s="734"/>
      <c r="H21" s="734"/>
      <c r="I21" s="44">
        <f t="shared" si="4"/>
        <v>0</v>
      </c>
      <c r="J21" s="124" t="str">
        <f t="shared" si="1"/>
        <v/>
      </c>
      <c r="K21" s="736"/>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3" t="str">
        <f t="shared" si="1"/>
        <v/>
      </c>
      <c r="K22" s="513">
        <f>SUM(K23:K24)</f>
        <v>0</v>
      </c>
    </row>
    <row r="23" spans="1:11" ht="12.75" customHeight="1" x14ac:dyDescent="0.25">
      <c r="A23" s="397"/>
      <c r="B23" s="169"/>
      <c r="C23" s="782"/>
      <c r="D23" s="783"/>
      <c r="E23" s="738"/>
      <c r="F23" s="738"/>
      <c r="G23" s="738"/>
      <c r="H23" s="738"/>
      <c r="I23" s="514">
        <f t="shared" si="4"/>
        <v>0</v>
      </c>
      <c r="J23" s="553" t="str">
        <f t="shared" si="1"/>
        <v/>
      </c>
      <c r="K23" s="739"/>
    </row>
    <row r="24" spans="1:11" ht="12.75" customHeight="1" x14ac:dyDescent="0.25">
      <c r="A24" s="398" t="str">
        <f>'SC6'!A28</f>
        <v>SETA</v>
      </c>
      <c r="B24" s="169"/>
      <c r="C24" s="749"/>
      <c r="D24" s="746"/>
      <c r="E24" s="734"/>
      <c r="F24" s="734"/>
      <c r="G24" s="734"/>
      <c r="H24" s="734"/>
      <c r="I24" s="44">
        <f t="shared" si="4"/>
        <v>0</v>
      </c>
      <c r="J24" s="124" t="str">
        <f t="shared" si="1"/>
        <v/>
      </c>
      <c r="K24" s="736"/>
    </row>
    <row r="25" spans="1:11" ht="12.75" customHeight="1" x14ac:dyDescent="0.25">
      <c r="A25" s="397" t="str">
        <f>'SC6'!A30</f>
        <v>Other grant providers:</v>
      </c>
      <c r="B25" s="169"/>
      <c r="C25" s="516">
        <f t="shared" ref="C25:H25" si="6">SUM(C26:C27)</f>
        <v>0</v>
      </c>
      <c r="D25" s="475">
        <f t="shared" si="6"/>
        <v>0</v>
      </c>
      <c r="E25" s="430">
        <f t="shared" si="6"/>
        <v>0</v>
      </c>
      <c r="F25" s="430">
        <f t="shared" si="6"/>
        <v>0</v>
      </c>
      <c r="G25" s="430">
        <f t="shared" si="6"/>
        <v>0</v>
      </c>
      <c r="H25" s="430">
        <f t="shared" si="6"/>
        <v>0</v>
      </c>
      <c r="I25" s="514">
        <f t="shared" si="4"/>
        <v>0</v>
      </c>
      <c r="J25" s="553" t="str">
        <f t="shared" si="1"/>
        <v/>
      </c>
      <c r="K25" s="513">
        <f>SUM(K26:K27)</f>
        <v>0</v>
      </c>
    </row>
    <row r="26" spans="1:11" ht="12.75" customHeight="1" x14ac:dyDescent="0.25">
      <c r="A26" s="397"/>
      <c r="B26" s="169"/>
      <c r="C26" s="782"/>
      <c r="D26" s="783"/>
      <c r="E26" s="738"/>
      <c r="F26" s="738"/>
      <c r="G26" s="738"/>
      <c r="H26" s="738"/>
      <c r="I26" s="514">
        <f t="shared" si="4"/>
        <v>0</v>
      </c>
      <c r="J26" s="553" t="str">
        <f t="shared" si="1"/>
        <v/>
      </c>
      <c r="K26" s="739"/>
    </row>
    <row r="27" spans="1:11" ht="12.75" customHeight="1" x14ac:dyDescent="0.25">
      <c r="A27" s="398" t="str">
        <f>'SC6'!A31</f>
        <v>Cleanest town competition</v>
      </c>
      <c r="B27" s="169"/>
      <c r="C27" s="749"/>
      <c r="D27" s="746"/>
      <c r="E27" s="734"/>
      <c r="F27" s="734"/>
      <c r="G27" s="734"/>
      <c r="H27" s="734"/>
      <c r="I27" s="44">
        <f t="shared" si="4"/>
        <v>0</v>
      </c>
      <c r="J27" s="124" t="str">
        <f t="shared" si="1"/>
        <v/>
      </c>
      <c r="K27" s="736"/>
    </row>
    <row r="28" spans="1:11" ht="12.75" customHeight="1" x14ac:dyDescent="0.25">
      <c r="A28" s="559" t="s">
        <v>58</v>
      </c>
      <c r="B28" s="233"/>
      <c r="C28" s="243">
        <f>C8+C16+C22+C25</f>
        <v>359333373.06999999</v>
      </c>
      <c r="D28" s="74">
        <f t="shared" ref="D28:I28" si="7">D8+D16+D22+D25</f>
        <v>416300150</v>
      </c>
      <c r="E28" s="73">
        <f t="shared" si="7"/>
        <v>416300150</v>
      </c>
      <c r="F28" s="73">
        <f t="shared" si="7"/>
        <v>2154222.0999999996</v>
      </c>
      <c r="G28" s="73">
        <f t="shared" si="7"/>
        <v>169261529.98000002</v>
      </c>
      <c r="H28" s="73">
        <f t="shared" si="7"/>
        <v>141792532.32999998</v>
      </c>
      <c r="I28" s="73">
        <f t="shared" si="7"/>
        <v>27468997.649999999</v>
      </c>
      <c r="J28" s="304">
        <f t="shared" si="1"/>
        <v>0.19372668784890726</v>
      </c>
      <c r="K28" s="145">
        <f>K8+K16+K22+K25</f>
        <v>416300150</v>
      </c>
    </row>
    <row r="29" spans="1:11" ht="5.0999999999999996" customHeight="1" x14ac:dyDescent="0.25">
      <c r="A29" s="42"/>
      <c r="B29" s="169"/>
      <c r="C29" s="134"/>
      <c r="D29" s="46"/>
      <c r="E29" s="44"/>
      <c r="F29" s="44"/>
      <c r="G29" s="44"/>
      <c r="H29" s="44"/>
      <c r="I29" s="44"/>
      <c r="J29" s="124"/>
      <c r="K29" s="144"/>
    </row>
    <row r="30" spans="1:11" ht="12.75" customHeight="1" x14ac:dyDescent="0.25">
      <c r="A30" s="550"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76150621</v>
      </c>
      <c r="D31" s="46">
        <f t="shared" si="8"/>
        <v>89549850</v>
      </c>
      <c r="E31" s="44">
        <f t="shared" si="8"/>
        <v>89549850</v>
      </c>
      <c r="F31" s="44">
        <f t="shared" si="8"/>
        <v>8520424.6600000001</v>
      </c>
      <c r="G31" s="44">
        <f t="shared" si="8"/>
        <v>48056384.069999993</v>
      </c>
      <c r="H31" s="44">
        <f t="shared" si="8"/>
        <v>2461000</v>
      </c>
      <c r="I31" s="44">
        <f t="shared" si="8"/>
        <v>45595384.069999993</v>
      </c>
      <c r="J31" s="343">
        <f t="shared" ref="J31:J46" si="9">IF(I31=0,"",I31/H31)</f>
        <v>18.527177598537175</v>
      </c>
      <c r="K31" s="144">
        <f t="shared" si="8"/>
        <v>89549850</v>
      </c>
    </row>
    <row r="32" spans="1:11" ht="12.75" customHeight="1" x14ac:dyDescent="0.25">
      <c r="A32" s="396" t="str">
        <f>'SC6'!A42</f>
        <v xml:space="preserve"> Municipal Infrastructure Grant (MIG)</v>
      </c>
      <c r="B32" s="169"/>
      <c r="C32" s="778">
        <v>76150621</v>
      </c>
      <c r="D32" s="779">
        <v>89549850</v>
      </c>
      <c r="E32" s="779">
        <v>89549850</v>
      </c>
      <c r="F32" s="735">
        <v>8520424.6600000001</v>
      </c>
      <c r="G32" s="735">
        <v>48056384.069999993</v>
      </c>
      <c r="H32" s="735">
        <v>2461000</v>
      </c>
      <c r="I32" s="514">
        <f t="shared" ref="I32:I37" si="10">G32-H32</f>
        <v>45595384.069999993</v>
      </c>
      <c r="J32" s="553">
        <f t="shared" si="9"/>
        <v>18.527177598537175</v>
      </c>
      <c r="K32" s="737">
        <v>89549850</v>
      </c>
    </row>
    <row r="33" spans="1:11" ht="12.75" customHeight="1" x14ac:dyDescent="0.25">
      <c r="A33" s="396">
        <f>'SC6'!A47</f>
        <v>0</v>
      </c>
      <c r="B33" s="169"/>
      <c r="C33" s="749"/>
      <c r="D33" s="746"/>
      <c r="E33" s="734"/>
      <c r="F33" s="734"/>
      <c r="G33" s="734"/>
      <c r="H33" s="734"/>
      <c r="I33" s="44">
        <f t="shared" si="10"/>
        <v>0</v>
      </c>
      <c r="J33" s="124" t="str">
        <f t="shared" si="9"/>
        <v/>
      </c>
      <c r="K33" s="736"/>
    </row>
    <row r="34" spans="1:11" ht="12.75" customHeight="1" x14ac:dyDescent="0.25">
      <c r="A34" s="396">
        <f>'SC6'!A48</f>
        <v>0</v>
      </c>
      <c r="B34" s="169"/>
      <c r="C34" s="749"/>
      <c r="D34" s="746"/>
      <c r="E34" s="734"/>
      <c r="F34" s="734"/>
      <c r="G34" s="734"/>
      <c r="H34" s="734"/>
      <c r="I34" s="44">
        <f t="shared" si="10"/>
        <v>0</v>
      </c>
      <c r="J34" s="124" t="str">
        <f t="shared" si="9"/>
        <v/>
      </c>
      <c r="K34" s="736"/>
    </row>
    <row r="35" spans="1:11" ht="12.75" customHeight="1" x14ac:dyDescent="0.25">
      <c r="A35" s="396">
        <f>'SC6'!A49</f>
        <v>0</v>
      </c>
      <c r="B35" s="169"/>
      <c r="C35" s="749"/>
      <c r="D35" s="746"/>
      <c r="E35" s="734"/>
      <c r="F35" s="734"/>
      <c r="G35" s="734"/>
      <c r="H35" s="734"/>
      <c r="I35" s="44">
        <f t="shared" si="10"/>
        <v>0</v>
      </c>
      <c r="J35" s="124" t="str">
        <f t="shared" si="9"/>
        <v/>
      </c>
      <c r="K35" s="736"/>
    </row>
    <row r="36" spans="1:11" ht="12.75" customHeight="1" x14ac:dyDescent="0.25">
      <c r="A36" s="396">
        <f>'SC6'!A50</f>
        <v>0</v>
      </c>
      <c r="B36" s="169"/>
      <c r="C36" s="749"/>
      <c r="D36" s="746"/>
      <c r="E36" s="734"/>
      <c r="F36" s="734"/>
      <c r="G36" s="734"/>
      <c r="H36" s="734"/>
      <c r="I36" s="44">
        <f t="shared" si="10"/>
        <v>0</v>
      </c>
      <c r="J36" s="124" t="str">
        <f t="shared" si="9"/>
        <v/>
      </c>
      <c r="K36" s="736"/>
    </row>
    <row r="37" spans="1:11" ht="12.75" customHeight="1" x14ac:dyDescent="0.25">
      <c r="A37" s="396" t="str">
        <f>'SC6'!A51</f>
        <v>Other capital transfers [insert description]</v>
      </c>
      <c r="B37" s="169"/>
      <c r="C37" s="749"/>
      <c r="D37" s="746"/>
      <c r="E37" s="734"/>
      <c r="F37" s="734"/>
      <c r="G37" s="734"/>
      <c r="H37" s="734"/>
      <c r="I37" s="44">
        <f t="shared" si="10"/>
        <v>0</v>
      </c>
      <c r="J37" s="124" t="str">
        <f t="shared" si="9"/>
        <v/>
      </c>
      <c r="K37" s="736"/>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3" t="str">
        <f t="shared" si="9"/>
        <v/>
      </c>
      <c r="K38" s="513">
        <f>SUM(K39:K40)</f>
        <v>0</v>
      </c>
    </row>
    <row r="39" spans="1:11" ht="12.75" customHeight="1" x14ac:dyDescent="0.25">
      <c r="A39" s="397"/>
      <c r="B39" s="169"/>
      <c r="C39" s="782"/>
      <c r="D39" s="783"/>
      <c r="E39" s="738"/>
      <c r="F39" s="738"/>
      <c r="G39" s="738"/>
      <c r="H39" s="738"/>
      <c r="I39" s="514">
        <f t="shared" si="12"/>
        <v>0</v>
      </c>
      <c r="J39" s="553" t="str">
        <f t="shared" si="9"/>
        <v/>
      </c>
      <c r="K39" s="739"/>
    </row>
    <row r="40" spans="1:11" ht="12.75" customHeight="1" x14ac:dyDescent="0.25">
      <c r="A40" s="396">
        <f>'SC6'!A58</f>
        <v>0</v>
      </c>
      <c r="B40" s="169"/>
      <c r="C40" s="749"/>
      <c r="D40" s="746"/>
      <c r="E40" s="734"/>
      <c r="F40" s="734"/>
      <c r="G40" s="734"/>
      <c r="H40" s="734"/>
      <c r="I40" s="44">
        <f t="shared" si="12"/>
        <v>0</v>
      </c>
      <c r="J40" s="124" t="str">
        <f t="shared" si="9"/>
        <v/>
      </c>
      <c r="K40" s="736"/>
    </row>
    <row r="41" spans="1:11" ht="12.75" customHeight="1" x14ac:dyDescent="0.25">
      <c r="A41" s="397" t="str">
        <f>'SC6'!A59</f>
        <v>District Municipality:</v>
      </c>
      <c r="B41" s="169"/>
      <c r="C41" s="516">
        <f t="shared" ref="C41:H41" si="13">SUM(C42:C43)</f>
        <v>0</v>
      </c>
      <c r="D41" s="475">
        <f t="shared" si="13"/>
        <v>0</v>
      </c>
      <c r="E41" s="430">
        <f t="shared" si="13"/>
        <v>939106.27</v>
      </c>
      <c r="F41" s="430">
        <f t="shared" si="13"/>
        <v>0</v>
      </c>
      <c r="G41" s="430">
        <f t="shared" si="13"/>
        <v>0</v>
      </c>
      <c r="H41" s="430">
        <f t="shared" si="13"/>
        <v>0</v>
      </c>
      <c r="I41" s="514">
        <f t="shared" si="12"/>
        <v>0</v>
      </c>
      <c r="J41" s="553" t="str">
        <f t="shared" si="9"/>
        <v/>
      </c>
      <c r="K41" s="513">
        <f>SUM(K42:K43)</f>
        <v>0</v>
      </c>
    </row>
    <row r="42" spans="1:11" ht="12.75" customHeight="1" x14ac:dyDescent="0.25">
      <c r="A42" s="397" t="s">
        <v>1559</v>
      </c>
      <c r="B42" s="169"/>
      <c r="C42" s="782"/>
      <c r="D42" s="783"/>
      <c r="E42" s="738">
        <v>939106.27</v>
      </c>
      <c r="F42" s="738"/>
      <c r="G42" s="738"/>
      <c r="H42" s="738"/>
      <c r="I42" s="514">
        <f t="shared" si="12"/>
        <v>0</v>
      </c>
      <c r="J42" s="553" t="str">
        <f t="shared" si="9"/>
        <v/>
      </c>
      <c r="K42" s="739"/>
    </row>
    <row r="43" spans="1:11" ht="12.75" customHeight="1" x14ac:dyDescent="0.25">
      <c r="A43" s="398">
        <f>'SC6'!A61</f>
        <v>0</v>
      </c>
      <c r="B43" s="169"/>
      <c r="C43" s="749"/>
      <c r="D43" s="746"/>
      <c r="E43" s="734"/>
      <c r="F43" s="734"/>
      <c r="G43" s="734"/>
      <c r="H43" s="734"/>
      <c r="I43" s="44">
        <f t="shared" si="12"/>
        <v>0</v>
      </c>
      <c r="J43" s="124" t="str">
        <f t="shared" si="9"/>
        <v/>
      </c>
      <c r="K43" s="736"/>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3" t="str">
        <f t="shared" si="9"/>
        <v/>
      </c>
      <c r="K44" s="513">
        <f>SUM(K45:K46)</f>
        <v>0</v>
      </c>
    </row>
    <row r="45" spans="1:11" ht="12.75" customHeight="1" x14ac:dyDescent="0.25">
      <c r="A45" s="397"/>
      <c r="B45" s="169"/>
      <c r="C45" s="782"/>
      <c r="D45" s="783"/>
      <c r="E45" s="738"/>
      <c r="F45" s="738"/>
      <c r="G45" s="738"/>
      <c r="H45" s="738"/>
      <c r="I45" s="514">
        <f t="shared" si="12"/>
        <v>0</v>
      </c>
      <c r="J45" s="553" t="str">
        <f t="shared" si="9"/>
        <v/>
      </c>
      <c r="K45" s="739"/>
    </row>
    <row r="46" spans="1:11" ht="12.75" customHeight="1" x14ac:dyDescent="0.25">
      <c r="A46" s="398">
        <f>'SC6'!A68</f>
        <v>0</v>
      </c>
      <c r="B46" s="169"/>
      <c r="C46" s="749"/>
      <c r="D46" s="746"/>
      <c r="E46" s="734"/>
      <c r="F46" s="734"/>
      <c r="G46" s="734"/>
      <c r="H46" s="734"/>
      <c r="I46" s="44">
        <f t="shared" si="12"/>
        <v>0</v>
      </c>
      <c r="J46" s="124" t="str">
        <f t="shared" si="9"/>
        <v/>
      </c>
      <c r="K46" s="736"/>
    </row>
    <row r="47" spans="1:11" ht="12.75" customHeight="1" x14ac:dyDescent="0.25">
      <c r="A47" s="558" t="s">
        <v>60</v>
      </c>
      <c r="B47" s="233"/>
      <c r="C47" s="243">
        <f>C31+C38+C41+C44</f>
        <v>76150621</v>
      </c>
      <c r="D47" s="74">
        <f t="shared" ref="D47:K47" si="15">D31+D38+D41+D44</f>
        <v>89549850</v>
      </c>
      <c r="E47" s="73">
        <f t="shared" si="15"/>
        <v>90488956.269999996</v>
      </c>
      <c r="F47" s="73">
        <f t="shared" si="15"/>
        <v>8520424.6600000001</v>
      </c>
      <c r="G47" s="73">
        <f t="shared" si="15"/>
        <v>48056384.069999993</v>
      </c>
      <c r="H47" s="73">
        <f t="shared" si="15"/>
        <v>2461000</v>
      </c>
      <c r="I47" s="73">
        <f t="shared" si="15"/>
        <v>45595384.069999993</v>
      </c>
      <c r="J47" s="304">
        <f>IF(I47=0,"",I47/H47)</f>
        <v>18.527177598537175</v>
      </c>
      <c r="K47" s="145">
        <f t="shared" si="15"/>
        <v>89549850</v>
      </c>
    </row>
    <row r="48" spans="1:11" ht="5.0999999999999996" customHeight="1" x14ac:dyDescent="0.25">
      <c r="A48" s="549"/>
      <c r="B48" s="169"/>
      <c r="C48" s="134"/>
      <c r="D48" s="46"/>
      <c r="E48" s="44"/>
      <c r="F48" s="44"/>
      <c r="G48" s="44"/>
      <c r="H48" s="44"/>
      <c r="I48" s="44"/>
      <c r="J48" s="124"/>
      <c r="K48" s="144"/>
    </row>
    <row r="49" spans="1:11" ht="12.75" customHeight="1" x14ac:dyDescent="0.25">
      <c r="A49" s="688" t="s">
        <v>136</v>
      </c>
      <c r="B49" s="284"/>
      <c r="C49" s="112">
        <f t="shared" ref="C49:K49" si="16">C28+C47</f>
        <v>435483994.06999999</v>
      </c>
      <c r="D49" s="56">
        <f t="shared" si="16"/>
        <v>505850000</v>
      </c>
      <c r="E49" s="55">
        <f t="shared" si="16"/>
        <v>506789106.26999998</v>
      </c>
      <c r="F49" s="55">
        <f t="shared" si="16"/>
        <v>10674646.76</v>
      </c>
      <c r="G49" s="55">
        <f t="shared" si="16"/>
        <v>217317914.05000001</v>
      </c>
      <c r="H49" s="55">
        <f t="shared" si="16"/>
        <v>144253532.32999998</v>
      </c>
      <c r="I49" s="55">
        <f t="shared" si="16"/>
        <v>73064381.719999999</v>
      </c>
      <c r="J49" s="290">
        <f>IF(I49=0,"",I49/H49)</f>
        <v>0.50649977535978175</v>
      </c>
      <c r="K49" s="235">
        <f t="shared" si="16"/>
        <v>505850000</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mergeCells count="3">
    <mergeCell ref="A2:A3"/>
    <mergeCell ref="B2:B3"/>
    <mergeCell ref="A1:K1"/>
  </mergeCells>
  <phoneticPr fontId="5"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5" t="str">
        <f>muni&amp; " - "&amp;S71T&amp; " - "&amp;Head57</f>
        <v>LIM333 Greater Tzaneen - Supporting Table SC7(2) Monthly Budget Statement - Expenditure against approved rollovers - M06 December</v>
      </c>
      <c r="B1" s="1035"/>
      <c r="C1" s="1035"/>
      <c r="D1" s="1035"/>
      <c r="E1" s="1035"/>
      <c r="F1" s="1035"/>
      <c r="G1" s="1035"/>
    </row>
    <row r="2" spans="1:7" ht="21.75" customHeight="1" x14ac:dyDescent="0.25">
      <c r="A2" s="1024" t="str">
        <f>desc</f>
        <v>Description</v>
      </c>
      <c r="B2" s="1017" t="str">
        <f>head27</f>
        <v>Ref</v>
      </c>
      <c r="C2" s="1019" t="str">
        <f>Head2</f>
        <v>Budget Year 2019/20</v>
      </c>
      <c r="D2" s="1020"/>
      <c r="E2" s="1020"/>
      <c r="F2" s="1020"/>
      <c r="G2" s="1021"/>
    </row>
    <row r="3" spans="1:7" ht="39.75" customHeight="1" x14ac:dyDescent="0.25">
      <c r="A3" s="1025"/>
      <c r="B3" s="1028"/>
      <c r="C3" s="199" t="str">
        <f>"Approved Rollover " &amp;Head1</f>
        <v>Approved Rollover 2018/19</v>
      </c>
      <c r="D3" s="141" t="str">
        <f>Head38</f>
        <v>Monthly actual</v>
      </c>
      <c r="E3" s="141" t="str">
        <f>Head39</f>
        <v>YearTD actual</v>
      </c>
      <c r="F3" s="141" t="str">
        <f>Head41</f>
        <v>YTD variance</v>
      </c>
      <c r="G3" s="906" t="str">
        <f>Head41</f>
        <v>YTD variance</v>
      </c>
    </row>
    <row r="4" spans="1:7" x14ac:dyDescent="0.25">
      <c r="A4" s="291" t="s">
        <v>676</v>
      </c>
      <c r="B4" s="248"/>
      <c r="C4" s="293"/>
      <c r="D4" s="295"/>
      <c r="E4" s="905"/>
      <c r="F4" s="295"/>
      <c r="G4" s="907" t="s">
        <v>583</v>
      </c>
    </row>
    <row r="5" spans="1:7" ht="12.75" customHeight="1" x14ac:dyDescent="0.25">
      <c r="A5" s="136" t="s">
        <v>545</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1104</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8" t="str">
        <f>IF(F8=0,"",F8/C8)</f>
        <v/>
      </c>
    </row>
    <row r="9" spans="1:7" x14ac:dyDescent="0.25">
      <c r="A9" s="396" t="str">
        <f>'SC6'!A9</f>
        <v>Local Government Equitable Share</v>
      </c>
      <c r="B9" s="169"/>
      <c r="C9" s="779"/>
      <c r="D9" s="735"/>
      <c r="E9" s="735"/>
      <c r="F9" s="514">
        <f>E9-C9</f>
        <v>0</v>
      </c>
      <c r="G9" s="909"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Integrated National Electrification Programme</v>
      </c>
      <c r="B12" s="169"/>
      <c r="C12" s="746"/>
      <c r="D12" s="734"/>
      <c r="E12" s="734"/>
      <c r="F12" s="44">
        <f t="shared" si="1"/>
        <v>0</v>
      </c>
      <c r="G12" s="276" t="str">
        <f t="shared" si="0"/>
        <v/>
      </c>
    </row>
    <row r="13" spans="1:7" ht="12.75" customHeight="1" x14ac:dyDescent="0.25">
      <c r="A13" s="396" t="str">
        <f>'SC6'!A13</f>
        <v>EPWP Incentive</v>
      </c>
      <c r="B13" s="169"/>
      <c r="C13" s="746"/>
      <c r="D13" s="734"/>
      <c r="E13" s="734"/>
      <c r="F13" s="44">
        <f t="shared" si="1"/>
        <v>0</v>
      </c>
      <c r="G13" s="276" t="str">
        <f t="shared" si="0"/>
        <v/>
      </c>
    </row>
    <row r="14" spans="1:7" ht="12.75" customHeight="1" x14ac:dyDescent="0.25">
      <c r="A14" s="396" t="str">
        <f>'SC6'!A14</f>
        <v>Electricity Demand Side Management</v>
      </c>
      <c r="B14" s="169"/>
      <c r="C14" s="746"/>
      <c r="D14" s="734"/>
      <c r="E14" s="734"/>
      <c r="F14" s="44">
        <f t="shared" si="1"/>
        <v>0</v>
      </c>
      <c r="G14" s="276" t="str">
        <f t="shared" si="0"/>
        <v/>
      </c>
    </row>
    <row r="15" spans="1:7" ht="12.75" customHeight="1" x14ac:dyDescent="0.25">
      <c r="A15" s="396" t="str">
        <f>'SC6'!A19</f>
        <v>Other transfers and grants [insert description]</v>
      </c>
      <c r="B15" s="169"/>
      <c r="C15" s="746"/>
      <c r="D15" s="734"/>
      <c r="E15" s="734"/>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0" t="str">
        <f t="shared" si="0"/>
        <v/>
      </c>
    </row>
    <row r="17" spans="1:7" ht="12.75" customHeight="1" x14ac:dyDescent="0.25">
      <c r="A17" s="396">
        <f>'SC6'!A21</f>
        <v>0</v>
      </c>
      <c r="B17" s="169"/>
      <c r="C17" s="779"/>
      <c r="D17" s="735"/>
      <c r="E17" s="735"/>
      <c r="F17" s="514">
        <f>C17-E17</f>
        <v>0</v>
      </c>
      <c r="G17" s="909" t="str">
        <f t="shared" si="0"/>
        <v/>
      </c>
    </row>
    <row r="18" spans="1:7" ht="12.75" customHeight="1" x14ac:dyDescent="0.25">
      <c r="A18" s="396">
        <f>'SC6'!A23</f>
        <v>0</v>
      </c>
      <c r="B18" s="169"/>
      <c r="C18" s="746"/>
      <c r="D18" s="734"/>
      <c r="E18" s="734"/>
      <c r="F18" s="44">
        <f>C18-E18</f>
        <v>0</v>
      </c>
      <c r="G18" s="276" t="str">
        <f t="shared" si="0"/>
        <v/>
      </c>
    </row>
    <row r="19" spans="1:7" ht="12.75" customHeight="1" x14ac:dyDescent="0.25">
      <c r="A19" s="396">
        <f>'SC6'!A24</f>
        <v>0</v>
      </c>
      <c r="B19" s="169"/>
      <c r="C19" s="746"/>
      <c r="D19" s="734"/>
      <c r="E19" s="734"/>
      <c r="F19" s="44">
        <f>C19-E19</f>
        <v>0</v>
      </c>
      <c r="G19" s="276" t="str">
        <f t="shared" si="0"/>
        <v/>
      </c>
    </row>
    <row r="20" spans="1:7" ht="12.75" customHeight="1" x14ac:dyDescent="0.25">
      <c r="A20" s="396">
        <f>'SC6'!A25</f>
        <v>0</v>
      </c>
      <c r="B20" s="169"/>
      <c r="C20" s="746"/>
      <c r="D20" s="734"/>
      <c r="E20" s="734"/>
      <c r="F20" s="44">
        <f>C20-E20</f>
        <v>0</v>
      </c>
      <c r="G20" s="276" t="str">
        <f t="shared" si="0"/>
        <v/>
      </c>
    </row>
    <row r="21" spans="1:7" ht="12.75" customHeight="1" x14ac:dyDescent="0.25">
      <c r="A21" s="396" t="str">
        <f>'SC6'!A26</f>
        <v>MIG Operation/NDPG</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09" t="str">
        <f t="shared" si="0"/>
        <v/>
      </c>
    </row>
    <row r="23" spans="1:7" ht="12.75" customHeight="1" x14ac:dyDescent="0.25">
      <c r="A23" s="397"/>
      <c r="B23" s="169"/>
      <c r="C23" s="783"/>
      <c r="D23" s="738"/>
      <c r="E23" s="738"/>
      <c r="F23" s="514">
        <f>C23-E23</f>
        <v>0</v>
      </c>
      <c r="G23" s="909" t="str">
        <f t="shared" si="0"/>
        <v/>
      </c>
    </row>
    <row r="24" spans="1:7" ht="12.75" customHeight="1" x14ac:dyDescent="0.25">
      <c r="A24" s="398" t="str">
        <f>'SC6'!A28</f>
        <v>SETA</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9" t="str">
        <f t="shared" si="0"/>
        <v/>
      </c>
    </row>
    <row r="26" spans="1:7" ht="12.75" customHeight="1" x14ac:dyDescent="0.25">
      <c r="A26" s="397"/>
      <c r="B26" s="169"/>
      <c r="C26" s="783"/>
      <c r="D26" s="738"/>
      <c r="E26" s="738"/>
      <c r="F26" s="514">
        <f>C26-E26</f>
        <v>0</v>
      </c>
      <c r="G26" s="909" t="str">
        <f t="shared" si="0"/>
        <v/>
      </c>
    </row>
    <row r="27" spans="1:7" ht="12.75" customHeight="1" x14ac:dyDescent="0.25">
      <c r="A27" s="398" t="str">
        <f>'SC6'!A31</f>
        <v>Cleanest town competition</v>
      </c>
      <c r="B27" s="169"/>
      <c r="C27" s="746"/>
      <c r="D27" s="734"/>
      <c r="E27" s="734"/>
      <c r="F27" s="44">
        <f>C27-E27</f>
        <v>0</v>
      </c>
      <c r="G27" s="276" t="str">
        <f t="shared" si="0"/>
        <v/>
      </c>
    </row>
    <row r="28" spans="1:7" ht="12.75" customHeight="1" x14ac:dyDescent="0.25">
      <c r="A28" s="559" t="s">
        <v>1105</v>
      </c>
      <c r="B28" s="233"/>
      <c r="C28" s="74">
        <f>C8+C16+C22+C25</f>
        <v>0</v>
      </c>
      <c r="D28" s="73">
        <f>D8+D16+D22+D25</f>
        <v>0</v>
      </c>
      <c r="E28" s="73">
        <f>E8+E16+E22+E25</f>
        <v>0</v>
      </c>
      <c r="F28" s="73">
        <f>F8+F16+F22+F25</f>
        <v>0</v>
      </c>
      <c r="G28" s="911" t="str">
        <f t="shared" si="0"/>
        <v/>
      </c>
    </row>
    <row r="29" spans="1:7" ht="5.0999999999999996" customHeight="1" x14ac:dyDescent="0.25">
      <c r="A29" s="42"/>
      <c r="B29" s="169"/>
      <c r="C29" s="46"/>
      <c r="D29" s="44"/>
      <c r="E29" s="44"/>
      <c r="F29" s="44"/>
      <c r="G29" s="276" t="str">
        <f t="shared" si="0"/>
        <v/>
      </c>
    </row>
    <row r="30" spans="1:7" ht="12.75" customHeight="1" x14ac:dyDescent="0.25">
      <c r="A30" s="550" t="s">
        <v>1106</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8" t="str">
        <f t="shared" si="0"/>
        <v/>
      </c>
    </row>
    <row r="32" spans="1:7" ht="12.75" customHeight="1" x14ac:dyDescent="0.25">
      <c r="A32" s="396" t="str">
        <f>'SC6'!A42</f>
        <v xml:space="preserve"> Municipal Infrastructure Grant (MIG)</v>
      </c>
      <c r="B32" s="169"/>
      <c r="C32" s="779"/>
      <c r="D32" s="735"/>
      <c r="E32" s="735"/>
      <c r="F32" s="514">
        <f t="shared" ref="F32:F37" si="2">C32-E32</f>
        <v>0</v>
      </c>
      <c r="G32" s="909" t="str">
        <f t="shared" si="0"/>
        <v/>
      </c>
    </row>
    <row r="33" spans="1:7" ht="12.75" customHeight="1" x14ac:dyDescent="0.25">
      <c r="A33" s="396">
        <f>'SC6'!A47</f>
        <v>0</v>
      </c>
      <c r="B33" s="169"/>
      <c r="C33" s="746"/>
      <c r="D33" s="734"/>
      <c r="E33" s="734"/>
      <c r="F33" s="44">
        <f t="shared" si="2"/>
        <v>0</v>
      </c>
      <c r="G33" s="276" t="str">
        <f t="shared" si="0"/>
        <v/>
      </c>
    </row>
    <row r="34" spans="1:7" ht="12.75" customHeight="1" x14ac:dyDescent="0.25">
      <c r="A34" s="396">
        <f>'SC6'!A48</f>
        <v>0</v>
      </c>
      <c r="B34" s="169"/>
      <c r="C34" s="746"/>
      <c r="D34" s="734"/>
      <c r="E34" s="734"/>
      <c r="F34" s="44">
        <f t="shared" si="2"/>
        <v>0</v>
      </c>
      <c r="G34" s="276" t="str">
        <f t="shared" si="0"/>
        <v/>
      </c>
    </row>
    <row r="35" spans="1:7" ht="12.75" customHeight="1" x14ac:dyDescent="0.25">
      <c r="A35" s="396">
        <f>'SC6'!A49</f>
        <v>0</v>
      </c>
      <c r="B35" s="169"/>
      <c r="C35" s="746"/>
      <c r="D35" s="734"/>
      <c r="E35" s="734"/>
      <c r="F35" s="44">
        <f t="shared" si="2"/>
        <v>0</v>
      </c>
      <c r="G35" s="276" t="str">
        <f t="shared" si="0"/>
        <v/>
      </c>
    </row>
    <row r="36" spans="1:7" ht="12.75" customHeight="1" x14ac:dyDescent="0.25">
      <c r="A36" s="396">
        <f>'SC6'!A50</f>
        <v>0</v>
      </c>
      <c r="B36" s="169"/>
      <c r="C36" s="746"/>
      <c r="D36" s="734"/>
      <c r="E36" s="734"/>
      <c r="F36" s="44">
        <f t="shared" si="2"/>
        <v>0</v>
      </c>
      <c r="G36" s="276" t="str">
        <f t="shared" si="0"/>
        <v/>
      </c>
    </row>
    <row r="37" spans="1:7" ht="12.75" customHeight="1" x14ac:dyDescent="0.25">
      <c r="A37" s="396" t="str">
        <f>'SC6'!A51</f>
        <v>Other capital transfers [insert description]</v>
      </c>
      <c r="B37" s="169"/>
      <c r="C37" s="746"/>
      <c r="D37" s="734"/>
      <c r="E37" s="734"/>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09" t="str">
        <f t="shared" si="0"/>
        <v/>
      </c>
    </row>
    <row r="39" spans="1:7" ht="12.75" customHeight="1" x14ac:dyDescent="0.25">
      <c r="A39" s="397"/>
      <c r="B39" s="169"/>
      <c r="C39" s="783"/>
      <c r="D39" s="738"/>
      <c r="E39" s="738"/>
      <c r="F39" s="514">
        <f>C39-E39</f>
        <v>0</v>
      </c>
      <c r="G39" s="909" t="str">
        <f t="shared" si="0"/>
        <v/>
      </c>
    </row>
    <row r="40" spans="1:7" ht="12.75" customHeight="1" x14ac:dyDescent="0.25">
      <c r="A40" s="396">
        <f>'SC6'!A58</f>
        <v>0</v>
      </c>
      <c r="B40" s="169"/>
      <c r="C40" s="746"/>
      <c r="D40" s="734"/>
      <c r="E40" s="734"/>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09" t="str">
        <f t="shared" si="0"/>
        <v/>
      </c>
    </row>
    <row r="42" spans="1:7" ht="12.75" customHeight="1" x14ac:dyDescent="0.25">
      <c r="A42" s="397"/>
      <c r="B42" s="169"/>
      <c r="C42" s="783"/>
      <c r="D42" s="738"/>
      <c r="E42" s="738"/>
      <c r="F42" s="514">
        <f>C42-E42</f>
        <v>0</v>
      </c>
      <c r="G42" s="909" t="str">
        <f t="shared" si="0"/>
        <v/>
      </c>
    </row>
    <row r="43" spans="1:7" ht="12.75" customHeight="1" x14ac:dyDescent="0.25">
      <c r="A43" s="398">
        <f>'SC6'!A61</f>
        <v>0</v>
      </c>
      <c r="B43" s="169"/>
      <c r="C43" s="746"/>
      <c r="D43" s="734"/>
      <c r="E43" s="734"/>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09" t="str">
        <f t="shared" si="0"/>
        <v/>
      </c>
    </row>
    <row r="45" spans="1:7" ht="12.75" customHeight="1" x14ac:dyDescent="0.25">
      <c r="A45" s="397"/>
      <c r="B45" s="169"/>
      <c r="C45" s="783"/>
      <c r="D45" s="738"/>
      <c r="E45" s="738"/>
      <c r="F45" s="514">
        <f>C45-E45</f>
        <v>0</v>
      </c>
      <c r="G45" s="909" t="str">
        <f t="shared" si="0"/>
        <v/>
      </c>
    </row>
    <row r="46" spans="1:7" ht="12.75" customHeight="1" x14ac:dyDescent="0.25">
      <c r="A46" s="398">
        <f>'SC6'!A68</f>
        <v>0</v>
      </c>
      <c r="B46" s="169"/>
      <c r="C46" s="746"/>
      <c r="D46" s="734"/>
      <c r="E46" s="734"/>
      <c r="F46" s="44">
        <f>C46-E46</f>
        <v>0</v>
      </c>
      <c r="G46" s="276" t="str">
        <f t="shared" si="0"/>
        <v/>
      </c>
    </row>
    <row r="47" spans="1:7" ht="12.75" customHeight="1" x14ac:dyDescent="0.25">
      <c r="A47" s="558" t="s">
        <v>1107</v>
      </c>
      <c r="B47" s="233"/>
      <c r="C47" s="74">
        <f>C31+C38+C41+C44</f>
        <v>0</v>
      </c>
      <c r="D47" s="73">
        <f>D31+D38+D41+D44</f>
        <v>0</v>
      </c>
      <c r="E47" s="73">
        <f>E31+E38+E41+E44</f>
        <v>0</v>
      </c>
      <c r="F47" s="73">
        <f>F31+F38+F41+F44</f>
        <v>0</v>
      </c>
      <c r="G47" s="911" t="str">
        <f t="shared" si="0"/>
        <v/>
      </c>
    </row>
    <row r="48" spans="1:7" ht="5.0999999999999996" customHeight="1" x14ac:dyDescent="0.25">
      <c r="A48" s="549"/>
      <c r="B48" s="169"/>
      <c r="C48" s="46"/>
      <c r="D48" s="44"/>
      <c r="E48" s="44"/>
      <c r="F48" s="44"/>
      <c r="G48" s="276"/>
    </row>
    <row r="49" spans="1:7" ht="12.75" customHeight="1" x14ac:dyDescent="0.25">
      <c r="A49" s="688" t="s">
        <v>1108</v>
      </c>
      <c r="B49" s="284"/>
      <c r="C49" s="56">
        <f>C28+C47</f>
        <v>0</v>
      </c>
      <c r="D49" s="55">
        <f>D28+D47</f>
        <v>0</v>
      </c>
      <c r="E49" s="55">
        <f>E28+E47</f>
        <v>0</v>
      </c>
      <c r="F49" s="55">
        <f>F28+F47</f>
        <v>0</v>
      </c>
      <c r="G49" s="912"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5" activePane="bottomRight" state="frozen"/>
      <selection pane="topRight"/>
      <selection pane="bottomLeft"/>
      <selection pane="bottomRight" activeCell="H19" sqref="H19"/>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"&amp;S71N&amp; " - "&amp;Head57</f>
        <v>LIM333 Greater Tzaneen - Supporting Table SC8 Monthly Budget Statement - councillor and staff benefits  - M06 December</v>
      </c>
      <c r="B1" s="1035"/>
      <c r="C1" s="1035"/>
      <c r="D1" s="1035"/>
      <c r="E1" s="1035"/>
      <c r="F1" s="1035"/>
      <c r="G1" s="1035"/>
      <c r="H1" s="1035"/>
      <c r="I1" s="1035"/>
      <c r="J1" s="1035"/>
      <c r="K1" s="1035"/>
    </row>
    <row r="2" spans="1:11" x14ac:dyDescent="0.25">
      <c r="A2" s="1024" t="s">
        <v>659</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560"/>
      <c r="B5" s="236">
        <v>1</v>
      </c>
      <c r="C5" s="561" t="s">
        <v>588</v>
      </c>
      <c r="D5" s="562" t="s">
        <v>546</v>
      </c>
      <c r="E5" s="563" t="s">
        <v>483</v>
      </c>
      <c r="F5" s="564"/>
      <c r="G5" s="564"/>
      <c r="H5" s="564"/>
      <c r="I5" s="564"/>
      <c r="J5" s="564"/>
      <c r="K5" s="565" t="s">
        <v>615</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v>26136302.419999998</v>
      </c>
      <c r="D7" s="746">
        <v>28266131</v>
      </c>
      <c r="E7" s="746">
        <v>28266131</v>
      </c>
      <c r="F7" s="734">
        <v>2205321.12</v>
      </c>
      <c r="G7" s="734">
        <v>13216697.16</v>
      </c>
      <c r="H7" s="734">
        <v>12662443.319999998</v>
      </c>
      <c r="I7" s="44">
        <f t="shared" ref="I7:I14" si="0">G7-H7</f>
        <v>554253.84000000171</v>
      </c>
      <c r="J7" s="330">
        <f t="shared" ref="J7:J14" si="1">IF(I7=0,"",I7/H7)</f>
        <v>4.377147648310277E-2</v>
      </c>
      <c r="K7" s="736">
        <v>28266131</v>
      </c>
    </row>
    <row r="8" spans="1:11" ht="12.75" customHeight="1" x14ac:dyDescent="0.25">
      <c r="A8" s="518" t="s">
        <v>1057</v>
      </c>
      <c r="B8" s="169"/>
      <c r="C8" s="749"/>
      <c r="D8" s="746"/>
      <c r="E8" s="734"/>
      <c r="F8" s="734"/>
      <c r="G8" s="734"/>
      <c r="H8" s="734"/>
      <c r="I8" s="44">
        <f t="shared" si="0"/>
        <v>0</v>
      </c>
      <c r="J8" s="330" t="str">
        <f t="shared" si="1"/>
        <v/>
      </c>
      <c r="K8" s="736"/>
    </row>
    <row r="9" spans="1:11" ht="12.75" customHeight="1" x14ac:dyDescent="0.25">
      <c r="A9" s="518" t="s">
        <v>433</v>
      </c>
      <c r="B9" s="169"/>
      <c r="C9" s="749"/>
      <c r="D9" s="746"/>
      <c r="E9" s="734"/>
      <c r="F9" s="734"/>
      <c r="G9" s="734"/>
      <c r="H9" s="734"/>
      <c r="I9" s="44">
        <f t="shared" si="0"/>
        <v>0</v>
      </c>
      <c r="J9" s="330" t="str">
        <f t="shared" si="1"/>
        <v/>
      </c>
      <c r="K9" s="736"/>
    </row>
    <row r="10" spans="1:11" ht="12.75" customHeight="1" x14ac:dyDescent="0.25">
      <c r="A10" s="518" t="s">
        <v>1058</v>
      </c>
      <c r="B10" s="169"/>
      <c r="C10" s="749"/>
      <c r="D10" s="746"/>
      <c r="E10" s="734"/>
      <c r="F10" s="734"/>
      <c r="G10" s="734"/>
      <c r="H10" s="734"/>
      <c r="I10" s="44">
        <f>G10-H10</f>
        <v>0</v>
      </c>
      <c r="J10" s="330" t="str">
        <f>IF(I10=0,"",I10/H10)</f>
        <v/>
      </c>
      <c r="K10" s="736"/>
    </row>
    <row r="11" spans="1:11" ht="12.75" customHeight="1" x14ac:dyDescent="0.25">
      <c r="A11" s="39" t="s">
        <v>1059</v>
      </c>
      <c r="B11" s="169"/>
      <c r="C11" s="749"/>
      <c r="D11" s="746"/>
      <c r="E11" s="734"/>
      <c r="F11" s="734"/>
      <c r="G11" s="734"/>
      <c r="H11" s="734"/>
      <c r="I11" s="44">
        <f>G11-H11</f>
        <v>0</v>
      </c>
      <c r="J11" s="330" t="str">
        <f>IF(I11=0,"",I11/H11)</f>
        <v/>
      </c>
      <c r="K11" s="736"/>
    </row>
    <row r="12" spans="1:11" ht="12.75" customHeight="1" x14ac:dyDescent="0.25">
      <c r="A12" s="39" t="s">
        <v>1060</v>
      </c>
      <c r="B12" s="169"/>
      <c r="C12" s="749"/>
      <c r="D12" s="746"/>
      <c r="E12" s="734"/>
      <c r="F12" s="734"/>
      <c r="G12" s="734"/>
      <c r="H12" s="734"/>
      <c r="I12" s="44">
        <f>G12-H12</f>
        <v>0</v>
      </c>
      <c r="J12" s="330" t="str">
        <f>IF(I12=0,"",I12/H12)</f>
        <v/>
      </c>
      <c r="K12" s="736"/>
    </row>
    <row r="13" spans="1:11" ht="12.75" customHeight="1" x14ac:dyDescent="0.25">
      <c r="A13" s="39" t="s">
        <v>1061</v>
      </c>
      <c r="B13" s="169"/>
      <c r="C13" s="749"/>
      <c r="D13" s="746"/>
      <c r="E13" s="734"/>
      <c r="F13" s="734"/>
      <c r="G13" s="734"/>
      <c r="H13" s="734"/>
      <c r="I13" s="44">
        <f t="shared" si="0"/>
        <v>0</v>
      </c>
      <c r="J13" s="330" t="str">
        <f t="shared" si="1"/>
        <v/>
      </c>
      <c r="K13" s="736"/>
    </row>
    <row r="14" spans="1:11" ht="12.75" customHeight="1" x14ac:dyDescent="0.25">
      <c r="A14" s="87" t="s">
        <v>434</v>
      </c>
      <c r="B14" s="169"/>
      <c r="C14" s="516">
        <f t="shared" ref="C14:K14" si="2">SUM(C7:C13)</f>
        <v>26136302.419999998</v>
      </c>
      <c r="D14" s="475">
        <f t="shared" si="2"/>
        <v>28266131</v>
      </c>
      <c r="E14" s="430">
        <f t="shared" si="2"/>
        <v>28266131</v>
      </c>
      <c r="F14" s="430">
        <f t="shared" si="2"/>
        <v>2205321.12</v>
      </c>
      <c r="G14" s="430">
        <f t="shared" si="2"/>
        <v>13216697.16</v>
      </c>
      <c r="H14" s="430">
        <f t="shared" si="2"/>
        <v>12662443.319999998</v>
      </c>
      <c r="I14" s="430">
        <f t="shared" si="0"/>
        <v>554253.84000000171</v>
      </c>
      <c r="J14" s="431">
        <f t="shared" si="1"/>
        <v>4.377147648310277E-2</v>
      </c>
      <c r="K14" s="513">
        <f t="shared" si="2"/>
        <v>28266131</v>
      </c>
    </row>
    <row r="15" spans="1:11" ht="12.75" customHeight="1" x14ac:dyDescent="0.25">
      <c r="A15" s="566" t="s">
        <v>733</v>
      </c>
      <c r="B15" s="169">
        <v>4</v>
      </c>
      <c r="C15" s="173"/>
      <c r="D15" s="303">
        <f>IF(D14=0,"",(D14/C14)-1)</f>
        <v>8.1489284359145486E-2</v>
      </c>
      <c r="E15" s="303">
        <f>IF(E14=0,"",(E14/C14)-1)</f>
        <v>8.1489284359145486E-2</v>
      </c>
      <c r="F15" s="303"/>
      <c r="G15" s="303"/>
      <c r="H15" s="303"/>
      <c r="I15" s="303"/>
      <c r="J15" s="344"/>
      <c r="K15" s="312">
        <f>IF(K14=0,"",(K14/C14)-1)</f>
        <v>8.1489284359145486E-2</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v>10227895</v>
      </c>
      <c r="D18" s="746">
        <v>10328246</v>
      </c>
      <c r="E18" s="746">
        <v>10328246</v>
      </c>
      <c r="F18" s="734">
        <v>800810.52</v>
      </c>
      <c r="G18" s="734">
        <v>4809497.5600000005</v>
      </c>
      <c r="H18" s="734">
        <v>5164122.99</v>
      </c>
      <c r="I18" s="44">
        <f t="shared" ref="I18:I30" si="3">G18-H18</f>
        <v>-354625.4299999997</v>
      </c>
      <c r="J18" s="330">
        <f t="shared" ref="J18:J29" si="4">IF(I18=0,"",I18/H18)</f>
        <v>-6.8670988411141554E-2</v>
      </c>
      <c r="K18" s="736">
        <v>10328246</v>
      </c>
    </row>
    <row r="19" spans="1:11" ht="12.75" customHeight="1" x14ac:dyDescent="0.25">
      <c r="A19" s="39" t="s">
        <v>1057</v>
      </c>
      <c r="B19" s="169"/>
      <c r="C19" s="749"/>
      <c r="D19" s="746"/>
      <c r="E19" s="746"/>
      <c r="F19" s="734"/>
      <c r="G19" s="734"/>
      <c r="H19" s="734"/>
      <c r="I19" s="44">
        <f t="shared" si="3"/>
        <v>0</v>
      </c>
      <c r="J19" s="330" t="str">
        <f t="shared" si="4"/>
        <v/>
      </c>
      <c r="K19" s="736"/>
    </row>
    <row r="20" spans="1:11" ht="12.75" customHeight="1" x14ac:dyDescent="0.25">
      <c r="A20" s="39" t="s">
        <v>433</v>
      </c>
      <c r="B20" s="169"/>
      <c r="C20" s="749"/>
      <c r="D20" s="746"/>
      <c r="E20" s="746"/>
      <c r="F20" s="734"/>
      <c r="G20" s="734"/>
      <c r="H20" s="734"/>
      <c r="I20" s="44">
        <f t="shared" si="3"/>
        <v>0</v>
      </c>
      <c r="J20" s="330" t="str">
        <f t="shared" si="4"/>
        <v/>
      </c>
      <c r="K20" s="736"/>
    </row>
    <row r="21" spans="1:11" ht="12.75" customHeight="1" x14ac:dyDescent="0.25">
      <c r="A21" s="39" t="s">
        <v>548</v>
      </c>
      <c r="B21" s="169"/>
      <c r="C21" s="749"/>
      <c r="D21" s="746"/>
      <c r="E21" s="746"/>
      <c r="F21" s="734"/>
      <c r="G21" s="734"/>
      <c r="H21" s="734"/>
      <c r="I21" s="44">
        <f t="shared" si="3"/>
        <v>0</v>
      </c>
      <c r="J21" s="330" t="str">
        <f t="shared" si="4"/>
        <v/>
      </c>
      <c r="K21" s="736"/>
    </row>
    <row r="22" spans="1:11" ht="12.75" customHeight="1" x14ac:dyDescent="0.25">
      <c r="A22" s="39" t="s">
        <v>435</v>
      </c>
      <c r="B22" s="169"/>
      <c r="C22" s="749">
        <v>502946</v>
      </c>
      <c r="D22" s="746">
        <v>996627</v>
      </c>
      <c r="E22" s="746">
        <v>0</v>
      </c>
      <c r="F22" s="734"/>
      <c r="G22" s="734"/>
      <c r="H22" s="734"/>
      <c r="I22" s="44">
        <f>G22-H22</f>
        <v>0</v>
      </c>
      <c r="J22" s="330" t="str">
        <f>IF(I22=0,"",I22/H22)</f>
        <v/>
      </c>
      <c r="K22" s="736">
        <v>996627</v>
      </c>
    </row>
    <row r="23" spans="1:11" ht="12.75" customHeight="1" x14ac:dyDescent="0.25">
      <c r="A23" s="39" t="s">
        <v>1058</v>
      </c>
      <c r="B23" s="169"/>
      <c r="C23" s="749"/>
      <c r="D23" s="746"/>
      <c r="E23" s="734"/>
      <c r="F23" s="734"/>
      <c r="G23" s="734"/>
      <c r="H23" s="734"/>
      <c r="I23" s="44">
        <f>G23-H23</f>
        <v>0</v>
      </c>
      <c r="J23" s="330" t="str">
        <f>IF(I23=0,"",I23/H23)</f>
        <v/>
      </c>
      <c r="K23" s="736"/>
    </row>
    <row r="24" spans="1:11" ht="12.75" customHeight="1" x14ac:dyDescent="0.25">
      <c r="A24" s="39" t="s">
        <v>1059</v>
      </c>
      <c r="B24" s="169"/>
      <c r="C24" s="749"/>
      <c r="D24" s="746"/>
      <c r="E24" s="734"/>
      <c r="F24" s="734"/>
      <c r="G24" s="734"/>
      <c r="H24" s="734"/>
      <c r="I24" s="44">
        <f>G24-H24</f>
        <v>0</v>
      </c>
      <c r="J24" s="330" t="str">
        <f>IF(I24=0,"",I24/H24)</f>
        <v/>
      </c>
      <c r="K24" s="736"/>
    </row>
    <row r="25" spans="1:11" ht="12.75" customHeight="1" x14ac:dyDescent="0.25">
      <c r="A25" s="39" t="s">
        <v>1060</v>
      </c>
      <c r="B25" s="169"/>
      <c r="C25" s="749"/>
      <c r="D25" s="746"/>
      <c r="E25" s="734"/>
      <c r="F25" s="734"/>
      <c r="G25" s="734"/>
      <c r="H25" s="734"/>
      <c r="I25" s="44">
        <f>G25-H25</f>
        <v>0</v>
      </c>
      <c r="J25" s="330" t="str">
        <f>IF(I25=0,"",I25/H25)</f>
        <v/>
      </c>
      <c r="K25" s="736"/>
    </row>
    <row r="26" spans="1:11" ht="12.75" customHeight="1" x14ac:dyDescent="0.25">
      <c r="A26" s="39" t="s">
        <v>1061</v>
      </c>
      <c r="B26" s="169"/>
      <c r="C26" s="749"/>
      <c r="D26" s="746"/>
      <c r="E26" s="734"/>
      <c r="F26" s="734"/>
      <c r="G26" s="734"/>
      <c r="H26" s="734"/>
      <c r="I26" s="44">
        <f t="shared" si="3"/>
        <v>0</v>
      </c>
      <c r="J26" s="330" t="str">
        <f t="shared" si="4"/>
        <v/>
      </c>
      <c r="K26" s="736"/>
    </row>
    <row r="27" spans="1:11" ht="12.75" customHeight="1" x14ac:dyDescent="0.25">
      <c r="A27" s="39" t="s">
        <v>1062</v>
      </c>
      <c r="B27" s="169"/>
      <c r="C27" s="749"/>
      <c r="D27" s="746"/>
      <c r="E27" s="734"/>
      <c r="F27" s="734"/>
      <c r="G27" s="734"/>
      <c r="H27" s="734"/>
      <c r="I27" s="44">
        <f t="shared" si="3"/>
        <v>0</v>
      </c>
      <c r="J27" s="330" t="str">
        <f t="shared" si="4"/>
        <v/>
      </c>
      <c r="K27" s="736"/>
    </row>
    <row r="28" spans="1:11" ht="12.75" customHeight="1" x14ac:dyDescent="0.25">
      <c r="A28" s="39" t="s">
        <v>1063</v>
      </c>
      <c r="B28" s="169"/>
      <c r="C28" s="749"/>
      <c r="D28" s="746"/>
      <c r="E28" s="734"/>
      <c r="F28" s="734"/>
      <c r="G28" s="734"/>
      <c r="H28" s="734"/>
      <c r="I28" s="44">
        <f t="shared" si="3"/>
        <v>0</v>
      </c>
      <c r="J28" s="330" t="str">
        <f t="shared" si="4"/>
        <v/>
      </c>
      <c r="K28" s="736"/>
    </row>
    <row r="29" spans="1:11" ht="12.75" customHeight="1" x14ac:dyDescent="0.25">
      <c r="A29" s="39" t="s">
        <v>1064</v>
      </c>
      <c r="B29" s="169">
        <v>2</v>
      </c>
      <c r="C29" s="749"/>
      <c r="D29" s="746"/>
      <c r="E29" s="734"/>
      <c r="F29" s="734"/>
      <c r="G29" s="734"/>
      <c r="H29" s="734"/>
      <c r="I29" s="44">
        <f t="shared" si="3"/>
        <v>0</v>
      </c>
      <c r="J29" s="330" t="str">
        <f t="shared" si="4"/>
        <v/>
      </c>
      <c r="K29" s="736"/>
    </row>
    <row r="30" spans="1:11" ht="12.75" customHeight="1" x14ac:dyDescent="0.25">
      <c r="A30" s="87" t="s">
        <v>436</v>
      </c>
      <c r="B30" s="169"/>
      <c r="C30" s="516">
        <f t="shared" ref="C30:K30" si="5">SUM(C18:C29)</f>
        <v>10730841</v>
      </c>
      <c r="D30" s="475">
        <f t="shared" si="5"/>
        <v>11324873</v>
      </c>
      <c r="E30" s="430">
        <f t="shared" si="5"/>
        <v>10328246</v>
      </c>
      <c r="F30" s="430">
        <f>SUM(F18:F29)</f>
        <v>800810.52</v>
      </c>
      <c r="G30" s="430">
        <f>SUM(G18:G29)</f>
        <v>4809497.5600000005</v>
      </c>
      <c r="H30" s="430">
        <f>SUM(H18:H29)</f>
        <v>5164122.99</v>
      </c>
      <c r="I30" s="430">
        <f t="shared" si="3"/>
        <v>-354625.4299999997</v>
      </c>
      <c r="J30" s="431">
        <f>IF(I30=0,"",I30/H30)</f>
        <v>-6.8670988411141554E-2</v>
      </c>
      <c r="K30" s="513">
        <f t="shared" si="5"/>
        <v>11324873</v>
      </c>
    </row>
    <row r="31" spans="1:11" ht="12.75" customHeight="1" x14ac:dyDescent="0.25">
      <c r="A31" s="566" t="s">
        <v>733</v>
      </c>
      <c r="B31" s="169">
        <v>4</v>
      </c>
      <c r="C31" s="173"/>
      <c r="D31" s="303">
        <f>IF(D30=0,"",(D30/C30)-1)</f>
        <v>5.5357450548377374E-2</v>
      </c>
      <c r="E31" s="303">
        <f>IF(E30=0,"",(E30/C30)-1)</f>
        <v>-3.7517562696157691E-2</v>
      </c>
      <c r="F31" s="303"/>
      <c r="G31" s="303"/>
      <c r="H31" s="303"/>
      <c r="I31" s="303"/>
      <c r="J31" s="344"/>
      <c r="K31" s="312">
        <f>IF(K30=0,"",(K30/C30)-1)</f>
        <v>5.5357450548377374E-2</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v>177417368</v>
      </c>
      <c r="D34" s="746">
        <v>194740218.28</v>
      </c>
      <c r="E34" s="746">
        <v>191392991.46000001</v>
      </c>
      <c r="F34" s="734">
        <v>15843295.460000001</v>
      </c>
      <c r="G34" s="734">
        <v>94713723.829999998</v>
      </c>
      <c r="H34" s="734">
        <v>93617314.719999999</v>
      </c>
      <c r="I34" s="44">
        <f t="shared" ref="I34:I46" si="6">G34-H34</f>
        <v>1096409.1099999994</v>
      </c>
      <c r="J34" s="330">
        <f t="shared" ref="J34:J45" si="7">IF(I34=0,"",I34/H34)</f>
        <v>1.1711606055773434E-2</v>
      </c>
      <c r="K34" s="736">
        <v>194740218.28</v>
      </c>
    </row>
    <row r="35" spans="1:11" ht="12.75" customHeight="1" x14ac:dyDescent="0.25">
      <c r="A35" s="518" t="s">
        <v>1057</v>
      </c>
      <c r="B35" s="169"/>
      <c r="C35" s="749">
        <v>30465325.089999992</v>
      </c>
      <c r="D35" s="746">
        <v>37229524.350000001</v>
      </c>
      <c r="E35" s="746">
        <v>36607906.260000005</v>
      </c>
      <c r="F35" s="734">
        <v>2720311.120000001</v>
      </c>
      <c r="G35" s="734">
        <v>16251363.790000003</v>
      </c>
      <c r="H35" s="734">
        <v>15252016.709999999</v>
      </c>
      <c r="I35" s="44">
        <f t="shared" si="6"/>
        <v>999347.0800000038</v>
      </c>
      <c r="J35" s="330">
        <f t="shared" si="7"/>
        <v>6.552229118296081E-2</v>
      </c>
      <c r="K35" s="736">
        <v>37229524.350000001</v>
      </c>
    </row>
    <row r="36" spans="1:11" ht="12.75" customHeight="1" x14ac:dyDescent="0.25">
      <c r="A36" s="518" t="s">
        <v>433</v>
      </c>
      <c r="B36" s="169"/>
      <c r="C36" s="749">
        <v>7221630.620000001</v>
      </c>
      <c r="D36" s="746">
        <v>18242071</v>
      </c>
      <c r="E36" s="746">
        <v>17699951.800000001</v>
      </c>
      <c r="F36" s="734">
        <v>1150725.0900000003</v>
      </c>
      <c r="G36" s="734">
        <v>6866780.919999999</v>
      </c>
      <c r="H36" s="734">
        <v>6282309.4500000002</v>
      </c>
      <c r="I36" s="44">
        <f t="shared" si="6"/>
        <v>584471.46999999881</v>
      </c>
      <c r="J36" s="330">
        <f t="shared" si="7"/>
        <v>9.3034492275766323E-2</v>
      </c>
      <c r="K36" s="736">
        <v>18242071</v>
      </c>
    </row>
    <row r="37" spans="1:11" ht="12.75" customHeight="1" x14ac:dyDescent="0.25">
      <c r="A37" s="518" t="s">
        <v>548</v>
      </c>
      <c r="B37" s="169"/>
      <c r="C37" s="749">
        <v>24754749.280000001</v>
      </c>
      <c r="D37" s="746">
        <v>41101954</v>
      </c>
      <c r="E37" s="746">
        <v>20550976.5</v>
      </c>
      <c r="F37" s="734">
        <v>2284153.9200000009</v>
      </c>
      <c r="G37" s="734">
        <v>13683441.41</v>
      </c>
      <c r="H37" s="734">
        <v>10824439.040000001</v>
      </c>
      <c r="I37" s="44">
        <f t="shared" si="6"/>
        <v>2859002.3699999992</v>
      </c>
      <c r="J37" s="330">
        <f t="shared" si="7"/>
        <v>0.2641247605935983</v>
      </c>
      <c r="K37" s="736">
        <v>41101954</v>
      </c>
    </row>
    <row r="38" spans="1:11" ht="12.75" customHeight="1" x14ac:dyDescent="0.25">
      <c r="A38" s="518" t="s">
        <v>435</v>
      </c>
      <c r="B38" s="169"/>
      <c r="C38" s="749">
        <v>130800</v>
      </c>
      <c r="D38" s="746">
        <v>19398</v>
      </c>
      <c r="E38" s="746">
        <v>0</v>
      </c>
      <c r="F38" s="734">
        <v>11550</v>
      </c>
      <c r="G38" s="734">
        <v>70800</v>
      </c>
      <c r="H38" s="734">
        <v>64200</v>
      </c>
      <c r="I38" s="44">
        <f t="shared" si="6"/>
        <v>6600</v>
      </c>
      <c r="J38" s="330">
        <f t="shared" si="7"/>
        <v>0.10280373831775701</v>
      </c>
      <c r="K38" s="736">
        <v>19398</v>
      </c>
    </row>
    <row r="39" spans="1:11" ht="12.75" customHeight="1" x14ac:dyDescent="0.25">
      <c r="A39" s="518" t="s">
        <v>1058</v>
      </c>
      <c r="B39" s="169"/>
      <c r="C39" s="749">
        <v>12767199.93</v>
      </c>
      <c r="D39" s="746">
        <v>16369685</v>
      </c>
      <c r="E39" s="746">
        <v>16369685</v>
      </c>
      <c r="F39" s="734">
        <v>1059504.0499999998</v>
      </c>
      <c r="G39" s="734">
        <v>6290527.5900000008</v>
      </c>
      <c r="H39" s="734">
        <v>6339178.629999999</v>
      </c>
      <c r="I39" s="44">
        <f>G39-H39</f>
        <v>-48651.039999998175</v>
      </c>
      <c r="J39" s="330">
        <f>IF(I39=0,"",I39/H39)</f>
        <v>-7.6746598951729153E-3</v>
      </c>
      <c r="K39" s="736">
        <v>16369685</v>
      </c>
    </row>
    <row r="40" spans="1:11" ht="12.75" customHeight="1" x14ac:dyDescent="0.25">
      <c r="A40" s="518" t="s">
        <v>1059</v>
      </c>
      <c r="B40" s="169"/>
      <c r="C40" s="749"/>
      <c r="D40" s="746"/>
      <c r="E40" s="746">
        <v>0</v>
      </c>
      <c r="F40" s="734"/>
      <c r="G40" s="734"/>
      <c r="H40" s="734"/>
      <c r="I40" s="44">
        <f>G40-H40</f>
        <v>0</v>
      </c>
      <c r="J40" s="330" t="str">
        <f>IF(I40=0,"",I40/H40)</f>
        <v/>
      </c>
      <c r="K40" s="736"/>
    </row>
    <row r="41" spans="1:11" ht="12.75" customHeight="1" x14ac:dyDescent="0.25">
      <c r="A41" s="518" t="s">
        <v>1060</v>
      </c>
      <c r="B41" s="169"/>
      <c r="C41" s="749">
        <v>1886397.5999999996</v>
      </c>
      <c r="D41" s="746">
        <v>2077981</v>
      </c>
      <c r="E41" s="746">
        <v>2077981</v>
      </c>
      <c r="F41" s="734">
        <v>149048.64999999997</v>
      </c>
      <c r="G41" s="734">
        <v>886656.78999999992</v>
      </c>
      <c r="H41" s="734">
        <v>961437.80999999994</v>
      </c>
      <c r="I41" s="44">
        <f>G41-H41</f>
        <v>-74781.020000000019</v>
      </c>
      <c r="J41" s="330">
        <f>IF(I41=0,"",I41/H41)</f>
        <v>-7.7780402665878129E-2</v>
      </c>
      <c r="K41" s="736">
        <v>2077981</v>
      </c>
    </row>
    <row r="42" spans="1:11" ht="12.75" customHeight="1" x14ac:dyDescent="0.25">
      <c r="A42" s="518" t="s">
        <v>1061</v>
      </c>
      <c r="B42" s="169"/>
      <c r="C42" s="749">
        <v>22507401</v>
      </c>
      <c r="D42" s="746">
        <v>22847664.399999999</v>
      </c>
      <c r="E42" s="746">
        <v>22500659.699999999</v>
      </c>
      <c r="F42" s="734">
        <v>1016763.4399999998</v>
      </c>
      <c r="G42" s="734">
        <v>9189129.8200000003</v>
      </c>
      <c r="H42" s="734">
        <v>8607527.1300000008</v>
      </c>
      <c r="I42" s="44">
        <f t="shared" si="6"/>
        <v>581602.68999999948</v>
      </c>
      <c r="J42" s="330">
        <f t="shared" si="7"/>
        <v>6.7569080087232836E-2</v>
      </c>
      <c r="K42" s="736">
        <v>22847664.399999999</v>
      </c>
    </row>
    <row r="43" spans="1:11" ht="12.75" customHeight="1" x14ac:dyDescent="0.25">
      <c r="A43" s="518" t="s">
        <v>1062</v>
      </c>
      <c r="B43" s="169"/>
      <c r="C43" s="749">
        <v>7350724.7200000007</v>
      </c>
      <c r="D43" s="746">
        <v>7955022</v>
      </c>
      <c r="E43" s="746">
        <v>7955022</v>
      </c>
      <c r="F43" s="734">
        <v>1104538.0800000003</v>
      </c>
      <c r="G43" s="734">
        <v>4775308.9000000004</v>
      </c>
      <c r="H43" s="734">
        <v>5829622.1399999997</v>
      </c>
      <c r="I43" s="44">
        <f t="shared" si="6"/>
        <v>-1054313.2399999993</v>
      </c>
      <c r="J43" s="330">
        <f t="shared" si="7"/>
        <v>-0.18085447301392321</v>
      </c>
      <c r="K43" s="736">
        <v>7955022</v>
      </c>
    </row>
    <row r="44" spans="1:11" ht="12.75" customHeight="1" x14ac:dyDescent="0.25">
      <c r="A44" s="518" t="s">
        <v>1063</v>
      </c>
      <c r="B44" s="169"/>
      <c r="C44" s="749"/>
      <c r="D44" s="746"/>
      <c r="E44" s="734"/>
      <c r="F44" s="734"/>
      <c r="G44" s="734"/>
      <c r="H44" s="734"/>
      <c r="I44" s="44">
        <f t="shared" si="6"/>
        <v>0</v>
      </c>
      <c r="J44" s="330" t="str">
        <f t="shared" si="7"/>
        <v/>
      </c>
      <c r="K44" s="736"/>
    </row>
    <row r="45" spans="1:11" ht="12.75" customHeight="1" x14ac:dyDescent="0.25">
      <c r="A45" s="518" t="s">
        <v>1064</v>
      </c>
      <c r="B45" s="169">
        <v>2</v>
      </c>
      <c r="C45" s="749"/>
      <c r="D45" s="746"/>
      <c r="E45" s="734"/>
      <c r="F45" s="734"/>
      <c r="G45" s="734"/>
      <c r="H45" s="734"/>
      <c r="I45" s="44">
        <f t="shared" si="6"/>
        <v>0</v>
      </c>
      <c r="J45" s="330" t="str">
        <f t="shared" si="7"/>
        <v/>
      </c>
      <c r="K45" s="736"/>
    </row>
    <row r="46" spans="1:11" ht="12.75" customHeight="1" x14ac:dyDescent="0.25">
      <c r="A46" s="87" t="s">
        <v>438</v>
      </c>
      <c r="B46" s="169"/>
      <c r="C46" s="516">
        <f t="shared" ref="C46:K46" si="8">SUM(C34:C45)</f>
        <v>284501596.24000001</v>
      </c>
      <c r="D46" s="475">
        <f t="shared" si="8"/>
        <v>340583518.02999997</v>
      </c>
      <c r="E46" s="430">
        <f t="shared" si="8"/>
        <v>315155173.72000003</v>
      </c>
      <c r="F46" s="430">
        <f>SUM(F34:F45)</f>
        <v>25339889.810000006</v>
      </c>
      <c r="G46" s="430">
        <f>SUM(G34:G45)</f>
        <v>152727733.04999998</v>
      </c>
      <c r="H46" s="430">
        <f>SUM(H34:H45)</f>
        <v>147778045.63</v>
      </c>
      <c r="I46" s="430">
        <f t="shared" si="6"/>
        <v>4949687.4199999869</v>
      </c>
      <c r="J46" s="431">
        <f>IF(I46=0,"",I46/H46)</f>
        <v>3.3494064689370648E-2</v>
      </c>
      <c r="K46" s="513">
        <f t="shared" si="8"/>
        <v>340583518.02999997</v>
      </c>
    </row>
    <row r="47" spans="1:11" ht="12.75" customHeight="1" x14ac:dyDescent="0.25">
      <c r="A47" s="566" t="s">
        <v>733</v>
      </c>
      <c r="B47" s="169">
        <v>4</v>
      </c>
      <c r="C47" s="399"/>
      <c r="D47" s="303">
        <f>IF(D46=0,"",(D46/C46)-1)</f>
        <v>0.1971233994156234</v>
      </c>
      <c r="E47" s="303">
        <f>IF(E46=0,"",(E46/C46)-1)</f>
        <v>0.10774483477463948</v>
      </c>
      <c r="F47" s="303"/>
      <c r="G47" s="303"/>
      <c r="H47" s="303"/>
      <c r="I47" s="401"/>
      <c r="J47" s="403"/>
      <c r="K47" s="312">
        <f>IF(K46=0,"",(K46/C46)-1)</f>
        <v>0.1971233994156234</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321368739.66000003</v>
      </c>
      <c r="D49" s="74">
        <f t="shared" ref="D49:K49" si="9">D14+D30+D46</f>
        <v>380174522.02999997</v>
      </c>
      <c r="E49" s="73">
        <f t="shared" si="9"/>
        <v>353749550.72000003</v>
      </c>
      <c r="F49" s="73">
        <f t="shared" si="9"/>
        <v>28346021.450000007</v>
      </c>
      <c r="G49" s="73">
        <f t="shared" si="9"/>
        <v>170753927.76999998</v>
      </c>
      <c r="H49" s="73">
        <f t="shared" si="9"/>
        <v>165604611.94</v>
      </c>
      <c r="I49" s="73">
        <f>G49-H49</f>
        <v>5149315.8299999833</v>
      </c>
      <c r="J49" s="331">
        <f>IF(I49=0,"",I49/H49)</f>
        <v>3.1094036389914224E-2</v>
      </c>
      <c r="K49" s="145">
        <f t="shared" si="9"/>
        <v>380174522.02999997</v>
      </c>
    </row>
    <row r="50" spans="1:11" ht="5.0999999999999996" customHeight="1" x14ac:dyDescent="0.25">
      <c r="A50" s="42"/>
      <c r="B50" s="169"/>
      <c r="C50" s="173"/>
      <c r="D50" s="303">
        <f>IF(D49=0,"",(D49/C49)-1)</f>
        <v>0.18298538442853829</v>
      </c>
      <c r="E50" s="303">
        <f>IF(E49=0,"",(E49/C49)-1)</f>
        <v>0.10075905669685881</v>
      </c>
      <c r="F50" s="303"/>
      <c r="G50" s="303"/>
      <c r="H50" s="303"/>
      <c r="I50" s="303"/>
      <c r="J50" s="344"/>
      <c r="K50" s="312">
        <f>IF(K49=0,"",(K49/C49)-1)</f>
        <v>0.18298538442853829</v>
      </c>
    </row>
    <row r="51" spans="1:11" ht="12.75" customHeight="1" x14ac:dyDescent="0.25">
      <c r="A51" s="350" t="s">
        <v>898</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565</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0">G54-H54</f>
        <v>0</v>
      </c>
      <c r="J54" s="330" t="str">
        <f t="shared" ref="J54:J66" si="11">IF(I54=0,"",I54/H54)</f>
        <v/>
      </c>
      <c r="K54" s="736"/>
    </row>
    <row r="55" spans="1:11" ht="12.75" customHeight="1" x14ac:dyDescent="0.25">
      <c r="A55" s="39" t="s">
        <v>1057</v>
      </c>
      <c r="B55" s="169"/>
      <c r="C55" s="749"/>
      <c r="D55" s="746"/>
      <c r="E55" s="734"/>
      <c r="F55" s="734"/>
      <c r="G55" s="734"/>
      <c r="H55" s="734"/>
      <c r="I55" s="44">
        <f t="shared" si="10"/>
        <v>0</v>
      </c>
      <c r="J55" s="330" t="str">
        <f t="shared" si="11"/>
        <v/>
      </c>
      <c r="K55" s="736"/>
    </row>
    <row r="56" spans="1:11" ht="12.75" customHeight="1" x14ac:dyDescent="0.25">
      <c r="A56" s="39" t="s">
        <v>433</v>
      </c>
      <c r="B56" s="169"/>
      <c r="C56" s="749"/>
      <c r="D56" s="746"/>
      <c r="E56" s="734"/>
      <c r="F56" s="734"/>
      <c r="G56" s="734"/>
      <c r="H56" s="734"/>
      <c r="I56" s="44">
        <f t="shared" si="10"/>
        <v>0</v>
      </c>
      <c r="J56" s="330" t="str">
        <f t="shared" si="11"/>
        <v/>
      </c>
      <c r="K56" s="736"/>
    </row>
    <row r="57" spans="1:11" ht="12.75" customHeight="1" x14ac:dyDescent="0.25">
      <c r="A57" s="39" t="s">
        <v>548</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1058</v>
      </c>
      <c r="B59" s="169"/>
      <c r="C59" s="749"/>
      <c r="D59" s="746"/>
      <c r="E59" s="734"/>
      <c r="F59" s="734"/>
      <c r="G59" s="734"/>
      <c r="H59" s="734"/>
      <c r="I59" s="44">
        <f>G59-H59</f>
        <v>0</v>
      </c>
      <c r="J59" s="330" t="str">
        <f>IF(I59=0,"",I59/H59)</f>
        <v/>
      </c>
      <c r="K59" s="736"/>
    </row>
    <row r="60" spans="1:11" ht="12.75" customHeight="1" x14ac:dyDescent="0.25">
      <c r="A60" s="39" t="s">
        <v>1059</v>
      </c>
      <c r="B60" s="169"/>
      <c r="C60" s="749"/>
      <c r="D60" s="746"/>
      <c r="E60" s="734"/>
      <c r="F60" s="734"/>
      <c r="G60" s="734"/>
      <c r="H60" s="734"/>
      <c r="I60" s="44">
        <f>G60-H60</f>
        <v>0</v>
      </c>
      <c r="J60" s="330" t="str">
        <f>IF(I60=0,"",I60/H60)</f>
        <v/>
      </c>
      <c r="K60" s="736"/>
    </row>
    <row r="61" spans="1:11" ht="12.75" customHeight="1" x14ac:dyDescent="0.25">
      <c r="A61" s="39" t="s">
        <v>1060</v>
      </c>
      <c r="B61" s="169"/>
      <c r="C61" s="749"/>
      <c r="D61" s="746"/>
      <c r="E61" s="734"/>
      <c r="F61" s="734"/>
      <c r="G61" s="734"/>
      <c r="H61" s="734"/>
      <c r="I61" s="44">
        <f>G61-H61</f>
        <v>0</v>
      </c>
      <c r="J61" s="330" t="str">
        <f>IF(I61=0,"",I61/H61)</f>
        <v/>
      </c>
      <c r="K61" s="736"/>
    </row>
    <row r="62" spans="1:11" ht="12.75" customHeight="1" x14ac:dyDescent="0.25">
      <c r="A62" s="39" t="s">
        <v>1061</v>
      </c>
      <c r="B62" s="169"/>
      <c r="C62" s="749"/>
      <c r="D62" s="746"/>
      <c r="E62" s="734"/>
      <c r="F62" s="734"/>
      <c r="G62" s="734"/>
      <c r="H62" s="734"/>
      <c r="I62" s="44">
        <f t="shared" si="10"/>
        <v>0</v>
      </c>
      <c r="J62" s="330" t="str">
        <f t="shared" si="11"/>
        <v/>
      </c>
      <c r="K62" s="736"/>
    </row>
    <row r="63" spans="1:11" ht="12.75" customHeight="1" x14ac:dyDescent="0.25">
      <c r="A63" s="39" t="s">
        <v>566</v>
      </c>
      <c r="B63" s="169"/>
      <c r="C63" s="749"/>
      <c r="D63" s="746"/>
      <c r="E63" s="734"/>
      <c r="F63" s="734"/>
      <c r="G63" s="734"/>
      <c r="H63" s="734"/>
      <c r="I63" s="44">
        <f>G63-H63</f>
        <v>0</v>
      </c>
      <c r="J63" s="330" t="str">
        <f>IF(I63=0,"",I63/H63)</f>
        <v/>
      </c>
      <c r="K63" s="736"/>
    </row>
    <row r="64" spans="1:11" ht="12.75" customHeight="1" x14ac:dyDescent="0.25">
      <c r="A64" s="39" t="s">
        <v>1062</v>
      </c>
      <c r="B64" s="169"/>
      <c r="C64" s="749"/>
      <c r="D64" s="746"/>
      <c r="E64" s="734"/>
      <c r="F64" s="734"/>
      <c r="G64" s="734"/>
      <c r="H64" s="734"/>
      <c r="I64" s="44">
        <f t="shared" si="10"/>
        <v>0</v>
      </c>
      <c r="J64" s="330" t="str">
        <f t="shared" si="11"/>
        <v/>
      </c>
      <c r="K64" s="736"/>
    </row>
    <row r="65" spans="1:11" ht="12.75" customHeight="1" x14ac:dyDescent="0.25">
      <c r="A65" s="39" t="s">
        <v>1063</v>
      </c>
      <c r="B65" s="169"/>
      <c r="C65" s="749"/>
      <c r="D65" s="746"/>
      <c r="E65" s="734"/>
      <c r="F65" s="734"/>
      <c r="G65" s="734"/>
      <c r="H65" s="734"/>
      <c r="I65" s="44">
        <f t="shared" si="10"/>
        <v>0</v>
      </c>
      <c r="J65" s="330" t="str">
        <f t="shared" si="11"/>
        <v/>
      </c>
      <c r="K65" s="736"/>
    </row>
    <row r="66" spans="1:11" ht="12.75" customHeight="1" x14ac:dyDescent="0.25">
      <c r="A66" s="39" t="s">
        <v>1064</v>
      </c>
      <c r="B66" s="169"/>
      <c r="C66" s="749"/>
      <c r="D66" s="746"/>
      <c r="E66" s="734"/>
      <c r="F66" s="734"/>
      <c r="G66" s="734"/>
      <c r="H66" s="734"/>
      <c r="I66" s="44">
        <f t="shared" si="10"/>
        <v>0</v>
      </c>
      <c r="J66" s="330" t="str">
        <f t="shared" si="11"/>
        <v/>
      </c>
      <c r="K66" s="736"/>
    </row>
    <row r="67" spans="1:11" ht="12.75" customHeight="1" x14ac:dyDescent="0.25">
      <c r="A67" s="87" t="s">
        <v>781</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6" t="s">
        <v>733</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841</v>
      </c>
      <c r="B70" s="169"/>
      <c r="C70" s="40"/>
      <c r="D70" s="104"/>
      <c r="E70" s="103"/>
      <c r="F70" s="103"/>
      <c r="G70" s="103"/>
      <c r="H70" s="103"/>
      <c r="I70" s="103"/>
      <c r="J70" s="330"/>
      <c r="K70" s="266"/>
    </row>
    <row r="71" spans="1:11" ht="12.75" customHeight="1" x14ac:dyDescent="0.25">
      <c r="A71" s="518" t="s">
        <v>497</v>
      </c>
      <c r="B71" s="169"/>
      <c r="C71" s="749"/>
      <c r="D71" s="746"/>
      <c r="E71" s="734"/>
      <c r="F71" s="734"/>
      <c r="G71" s="734"/>
      <c r="H71" s="734"/>
      <c r="I71" s="44">
        <f t="shared" ref="I71:I83" si="13">G71-H71</f>
        <v>0</v>
      </c>
      <c r="J71" s="330" t="str">
        <f t="shared" ref="J71:J82" si="14">IF(I71=0,"",I71/H71)</f>
        <v/>
      </c>
      <c r="K71" s="736"/>
    </row>
    <row r="72" spans="1:11" ht="12.75" customHeight="1" x14ac:dyDescent="0.25">
      <c r="A72" s="518" t="s">
        <v>1057</v>
      </c>
      <c r="B72" s="169"/>
      <c r="C72" s="749"/>
      <c r="D72" s="746"/>
      <c r="E72" s="734"/>
      <c r="F72" s="734"/>
      <c r="G72" s="734"/>
      <c r="H72" s="734"/>
      <c r="I72" s="44">
        <f t="shared" si="13"/>
        <v>0</v>
      </c>
      <c r="J72" s="330" t="str">
        <f t="shared" si="14"/>
        <v/>
      </c>
      <c r="K72" s="736"/>
    </row>
    <row r="73" spans="1:11" ht="12.75" customHeight="1" x14ac:dyDescent="0.25">
      <c r="A73" s="518" t="s">
        <v>433</v>
      </c>
      <c r="B73" s="169"/>
      <c r="C73" s="749"/>
      <c r="D73" s="746"/>
      <c r="E73" s="734"/>
      <c r="F73" s="734"/>
      <c r="G73" s="734"/>
      <c r="H73" s="734"/>
      <c r="I73" s="44">
        <f t="shared" si="13"/>
        <v>0</v>
      </c>
      <c r="J73" s="330" t="str">
        <f t="shared" si="14"/>
        <v/>
      </c>
      <c r="K73" s="736"/>
    </row>
    <row r="74" spans="1:11" ht="12.75" customHeight="1" x14ac:dyDescent="0.25">
      <c r="A74" s="518" t="s">
        <v>548</v>
      </c>
      <c r="B74" s="169"/>
      <c r="C74" s="749"/>
      <c r="D74" s="746"/>
      <c r="E74" s="734"/>
      <c r="F74" s="734"/>
      <c r="G74" s="734"/>
      <c r="H74" s="734"/>
      <c r="I74" s="44">
        <f t="shared" si="13"/>
        <v>0</v>
      </c>
      <c r="J74" s="330" t="str">
        <f t="shared" si="14"/>
        <v/>
      </c>
      <c r="K74" s="736"/>
    </row>
    <row r="75" spans="1:11" ht="12.75" customHeight="1" x14ac:dyDescent="0.25">
      <c r="A75" s="518" t="s">
        <v>435</v>
      </c>
      <c r="B75" s="169"/>
      <c r="C75" s="749"/>
      <c r="D75" s="746"/>
      <c r="E75" s="734"/>
      <c r="F75" s="734"/>
      <c r="G75" s="734"/>
      <c r="H75" s="734"/>
      <c r="I75" s="44">
        <f>G75-H75</f>
        <v>0</v>
      </c>
      <c r="J75" s="330" t="str">
        <f>IF(I75=0,"",I75/H75)</f>
        <v/>
      </c>
      <c r="K75" s="736"/>
    </row>
    <row r="76" spans="1:11" ht="12.75" customHeight="1" x14ac:dyDescent="0.25">
      <c r="A76" s="518" t="s">
        <v>1058</v>
      </c>
      <c r="B76" s="169"/>
      <c r="C76" s="749"/>
      <c r="D76" s="746"/>
      <c r="E76" s="734"/>
      <c r="F76" s="734"/>
      <c r="G76" s="734"/>
      <c r="H76" s="734"/>
      <c r="I76" s="44">
        <f>G76-H76</f>
        <v>0</v>
      </c>
      <c r="J76" s="330" t="str">
        <f>IF(I76=0,"",I76/H76)</f>
        <v/>
      </c>
      <c r="K76" s="736"/>
    </row>
    <row r="77" spans="1:11" ht="12.75" customHeight="1" x14ac:dyDescent="0.25">
      <c r="A77" s="518" t="s">
        <v>1059</v>
      </c>
      <c r="B77" s="169"/>
      <c r="C77" s="749"/>
      <c r="D77" s="746"/>
      <c r="E77" s="734"/>
      <c r="F77" s="734"/>
      <c r="G77" s="734"/>
      <c r="H77" s="734"/>
      <c r="I77" s="44">
        <f>G77-H77</f>
        <v>0</v>
      </c>
      <c r="J77" s="330" t="str">
        <f>IF(I77=0,"",I77/H77)</f>
        <v/>
      </c>
      <c r="K77" s="736"/>
    </row>
    <row r="78" spans="1:11" ht="12.75" customHeight="1" x14ac:dyDescent="0.25">
      <c r="A78" s="518" t="s">
        <v>1060</v>
      </c>
      <c r="B78" s="169"/>
      <c r="C78" s="749"/>
      <c r="D78" s="746"/>
      <c r="E78" s="734"/>
      <c r="F78" s="734"/>
      <c r="G78" s="734"/>
      <c r="H78" s="734"/>
      <c r="I78" s="44">
        <f>G78-H78</f>
        <v>0</v>
      </c>
      <c r="J78" s="330" t="str">
        <f>IF(I78=0,"",I78/H78)</f>
        <v/>
      </c>
      <c r="K78" s="736"/>
    </row>
    <row r="79" spans="1:11" ht="12.75" customHeight="1" x14ac:dyDescent="0.25">
      <c r="A79" s="518" t="s">
        <v>1061</v>
      </c>
      <c r="B79" s="169"/>
      <c r="C79" s="749"/>
      <c r="D79" s="746"/>
      <c r="E79" s="734"/>
      <c r="F79" s="734"/>
      <c r="G79" s="734"/>
      <c r="H79" s="734"/>
      <c r="I79" s="44">
        <f t="shared" si="13"/>
        <v>0</v>
      </c>
      <c r="J79" s="330" t="str">
        <f t="shared" si="14"/>
        <v/>
      </c>
      <c r="K79" s="736"/>
    </row>
    <row r="80" spans="1:11" ht="12.75" customHeight="1" x14ac:dyDescent="0.25">
      <c r="A80" s="518" t="s">
        <v>1062</v>
      </c>
      <c r="B80" s="169"/>
      <c r="C80" s="749"/>
      <c r="D80" s="746"/>
      <c r="E80" s="734"/>
      <c r="F80" s="734"/>
      <c r="G80" s="734"/>
      <c r="H80" s="734"/>
      <c r="I80" s="44">
        <f t="shared" si="13"/>
        <v>0</v>
      </c>
      <c r="J80" s="330" t="str">
        <f t="shared" si="14"/>
        <v/>
      </c>
      <c r="K80" s="736"/>
    </row>
    <row r="81" spans="1:11" ht="12.75" customHeight="1" x14ac:dyDescent="0.25">
      <c r="A81" s="518" t="s">
        <v>1063</v>
      </c>
      <c r="B81" s="169"/>
      <c r="C81" s="749"/>
      <c r="D81" s="746"/>
      <c r="E81" s="734"/>
      <c r="F81" s="734"/>
      <c r="G81" s="734"/>
      <c r="H81" s="734"/>
      <c r="I81" s="44">
        <f t="shared" si="13"/>
        <v>0</v>
      </c>
      <c r="J81" s="330" t="str">
        <f t="shared" si="14"/>
        <v/>
      </c>
      <c r="K81" s="736"/>
    </row>
    <row r="82" spans="1:11" ht="12.75" customHeight="1" x14ac:dyDescent="0.25">
      <c r="A82" s="518" t="s">
        <v>1064</v>
      </c>
      <c r="B82" s="169">
        <v>2</v>
      </c>
      <c r="C82" s="749"/>
      <c r="D82" s="746"/>
      <c r="E82" s="734"/>
      <c r="F82" s="734"/>
      <c r="G82" s="734"/>
      <c r="H82" s="734"/>
      <c r="I82" s="44">
        <f t="shared" si="13"/>
        <v>0</v>
      </c>
      <c r="J82" s="330" t="str">
        <f t="shared" si="14"/>
        <v/>
      </c>
      <c r="K82" s="736"/>
    </row>
    <row r="83" spans="1:11" ht="12.75" customHeight="1" x14ac:dyDescent="0.25">
      <c r="A83" s="87" t="s">
        <v>842</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6" t="s">
        <v>733</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728</v>
      </c>
      <c r="B86" s="169"/>
      <c r="C86" s="40"/>
      <c r="D86" s="104"/>
      <c r="E86" s="103"/>
      <c r="F86" s="103"/>
      <c r="G86" s="103"/>
      <c r="H86" s="103"/>
      <c r="I86" s="103"/>
      <c r="J86" s="330"/>
      <c r="K86" s="266"/>
    </row>
    <row r="87" spans="1:11" ht="12.75" customHeight="1" x14ac:dyDescent="0.25">
      <c r="A87" s="518" t="s">
        <v>497</v>
      </c>
      <c r="B87" s="169"/>
      <c r="C87" s="749"/>
      <c r="D87" s="746"/>
      <c r="E87" s="734"/>
      <c r="F87" s="734"/>
      <c r="G87" s="734"/>
      <c r="H87" s="734"/>
      <c r="I87" s="44">
        <f t="shared" ref="I87:I99" si="16">G87-H87</f>
        <v>0</v>
      </c>
      <c r="J87" s="330" t="str">
        <f t="shared" ref="J87:J98" si="17">IF(I87=0,"",I87/H87)</f>
        <v/>
      </c>
      <c r="K87" s="736"/>
    </row>
    <row r="88" spans="1:11" ht="12.75" customHeight="1" x14ac:dyDescent="0.25">
      <c r="A88" s="518" t="s">
        <v>1057</v>
      </c>
      <c r="B88" s="169"/>
      <c r="C88" s="749"/>
      <c r="D88" s="746"/>
      <c r="E88" s="734"/>
      <c r="F88" s="734"/>
      <c r="G88" s="734"/>
      <c r="H88" s="734"/>
      <c r="I88" s="44">
        <f t="shared" si="16"/>
        <v>0</v>
      </c>
      <c r="J88" s="330" t="str">
        <f t="shared" si="17"/>
        <v/>
      </c>
      <c r="K88" s="736"/>
    </row>
    <row r="89" spans="1:11" ht="12.75" customHeight="1" x14ac:dyDescent="0.25">
      <c r="A89" s="518" t="s">
        <v>433</v>
      </c>
      <c r="B89" s="169"/>
      <c r="C89" s="749"/>
      <c r="D89" s="746"/>
      <c r="E89" s="734"/>
      <c r="F89" s="734"/>
      <c r="G89" s="734"/>
      <c r="H89" s="734"/>
      <c r="I89" s="44">
        <f>G89-H89</f>
        <v>0</v>
      </c>
      <c r="J89" s="330" t="str">
        <f>IF(I89=0,"",I89/H89)</f>
        <v/>
      </c>
      <c r="K89" s="736"/>
    </row>
    <row r="90" spans="1:11" ht="12.75" customHeight="1" x14ac:dyDescent="0.25">
      <c r="A90" s="518" t="s">
        <v>548</v>
      </c>
      <c r="B90" s="169"/>
      <c r="C90" s="749"/>
      <c r="D90" s="746"/>
      <c r="E90" s="734"/>
      <c r="F90" s="734"/>
      <c r="G90" s="734"/>
      <c r="H90" s="734"/>
      <c r="I90" s="44">
        <f>G90-H90</f>
        <v>0</v>
      </c>
      <c r="J90" s="330" t="str">
        <f>IF(I90=0,"",I90/H90)</f>
        <v/>
      </c>
      <c r="K90" s="736"/>
    </row>
    <row r="91" spans="1:11" ht="12.75" customHeight="1" x14ac:dyDescent="0.25">
      <c r="A91" s="518" t="s">
        <v>435</v>
      </c>
      <c r="B91" s="169"/>
      <c r="C91" s="749"/>
      <c r="D91" s="746"/>
      <c r="E91" s="734"/>
      <c r="F91" s="734"/>
      <c r="G91" s="734"/>
      <c r="H91" s="734"/>
      <c r="I91" s="44">
        <f>G91-H91</f>
        <v>0</v>
      </c>
      <c r="J91" s="330" t="str">
        <f>IF(I91=0,"",I91/H91)</f>
        <v/>
      </c>
      <c r="K91" s="736"/>
    </row>
    <row r="92" spans="1:11" ht="12.75" customHeight="1" x14ac:dyDescent="0.25">
      <c r="A92" s="518" t="s">
        <v>1058</v>
      </c>
      <c r="B92" s="169"/>
      <c r="C92" s="749"/>
      <c r="D92" s="746"/>
      <c r="E92" s="734"/>
      <c r="F92" s="734"/>
      <c r="G92" s="734"/>
      <c r="H92" s="734"/>
      <c r="I92" s="44">
        <f>G92-H92</f>
        <v>0</v>
      </c>
      <c r="J92" s="330" t="str">
        <f>IF(I92=0,"",I92/H92)</f>
        <v/>
      </c>
      <c r="K92" s="736"/>
    </row>
    <row r="93" spans="1:11" ht="12.75" customHeight="1" x14ac:dyDescent="0.25">
      <c r="A93" s="518" t="s">
        <v>1059</v>
      </c>
      <c r="B93" s="169"/>
      <c r="C93" s="749"/>
      <c r="D93" s="746"/>
      <c r="E93" s="734"/>
      <c r="F93" s="734"/>
      <c r="G93" s="734"/>
      <c r="H93" s="734"/>
      <c r="I93" s="44">
        <f t="shared" si="16"/>
        <v>0</v>
      </c>
      <c r="J93" s="330" t="str">
        <f t="shared" si="17"/>
        <v/>
      </c>
      <c r="K93" s="736"/>
    </row>
    <row r="94" spans="1:11" ht="12.75" customHeight="1" x14ac:dyDescent="0.25">
      <c r="A94" s="518" t="s">
        <v>1060</v>
      </c>
      <c r="B94" s="169"/>
      <c r="C94" s="749"/>
      <c r="D94" s="746"/>
      <c r="E94" s="734"/>
      <c r="F94" s="734"/>
      <c r="G94" s="734"/>
      <c r="H94" s="734"/>
      <c r="I94" s="44">
        <f t="shared" si="16"/>
        <v>0</v>
      </c>
      <c r="J94" s="330" t="str">
        <f t="shared" si="17"/>
        <v/>
      </c>
      <c r="K94" s="736"/>
    </row>
    <row r="95" spans="1:11" ht="12.75" customHeight="1" x14ac:dyDescent="0.25">
      <c r="A95" s="518" t="s">
        <v>1061</v>
      </c>
      <c r="B95" s="169"/>
      <c r="C95" s="749"/>
      <c r="D95" s="746"/>
      <c r="E95" s="734"/>
      <c r="F95" s="734"/>
      <c r="G95" s="734"/>
      <c r="H95" s="734"/>
      <c r="I95" s="44">
        <f t="shared" si="16"/>
        <v>0</v>
      </c>
      <c r="J95" s="330" t="str">
        <f t="shared" si="17"/>
        <v/>
      </c>
      <c r="K95" s="736"/>
    </row>
    <row r="96" spans="1:11" ht="12.75" customHeight="1" x14ac:dyDescent="0.25">
      <c r="A96" s="518" t="s">
        <v>1062</v>
      </c>
      <c r="B96" s="169"/>
      <c r="C96" s="749"/>
      <c r="D96" s="746"/>
      <c r="E96" s="734"/>
      <c r="F96" s="734"/>
      <c r="G96" s="734"/>
      <c r="H96" s="734"/>
      <c r="I96" s="44">
        <f t="shared" si="16"/>
        <v>0</v>
      </c>
      <c r="J96" s="330" t="str">
        <f t="shared" si="17"/>
        <v/>
      </c>
      <c r="K96" s="736"/>
    </row>
    <row r="97" spans="1:14" ht="12.75" customHeight="1" x14ac:dyDescent="0.25">
      <c r="A97" s="518" t="s">
        <v>1063</v>
      </c>
      <c r="B97" s="169"/>
      <c r="C97" s="749"/>
      <c r="D97" s="746"/>
      <c r="E97" s="734"/>
      <c r="F97" s="734"/>
      <c r="G97" s="734"/>
      <c r="H97" s="734"/>
      <c r="I97" s="44">
        <f t="shared" si="16"/>
        <v>0</v>
      </c>
      <c r="J97" s="330" t="str">
        <f t="shared" si="17"/>
        <v/>
      </c>
      <c r="K97" s="736"/>
    </row>
    <row r="98" spans="1:14" ht="12.75" customHeight="1" x14ac:dyDescent="0.25">
      <c r="A98" s="518" t="s">
        <v>1064</v>
      </c>
      <c r="B98" s="169"/>
      <c r="C98" s="749"/>
      <c r="D98" s="746"/>
      <c r="E98" s="734"/>
      <c r="F98" s="734"/>
      <c r="G98" s="734"/>
      <c r="H98" s="734"/>
      <c r="I98" s="44">
        <f t="shared" si="16"/>
        <v>0</v>
      </c>
      <c r="J98" s="330" t="str">
        <f t="shared" si="17"/>
        <v/>
      </c>
      <c r="K98" s="736"/>
    </row>
    <row r="99" spans="1:14" ht="12.75" customHeight="1" x14ac:dyDescent="0.25">
      <c r="A99" s="87" t="s">
        <v>517</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6" t="s">
        <v>733</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987</v>
      </c>
      <c r="B104" s="236"/>
      <c r="C104" s="112">
        <f t="shared" ref="C104:H104" si="20">C49+C102</f>
        <v>321368739.66000003</v>
      </c>
      <c r="D104" s="56">
        <f t="shared" si="20"/>
        <v>380174522.02999997</v>
      </c>
      <c r="E104" s="55">
        <f t="shared" si="20"/>
        <v>353749550.72000003</v>
      </c>
      <c r="F104" s="55">
        <f t="shared" si="20"/>
        <v>28346021.450000007</v>
      </c>
      <c r="G104" s="55">
        <f t="shared" si="20"/>
        <v>170753927.76999998</v>
      </c>
      <c r="H104" s="55">
        <f t="shared" si="20"/>
        <v>165604611.94</v>
      </c>
      <c r="I104" s="55">
        <f>G104-H104</f>
        <v>5149315.8299999833</v>
      </c>
      <c r="J104" s="332">
        <f>IF(I104=0,"",I104/H104)</f>
        <v>3.1094036389914224E-2</v>
      </c>
      <c r="K104" s="235">
        <f>K49+K102</f>
        <v>380174522.02999997</v>
      </c>
    </row>
    <row r="105" spans="1:14" ht="12.75" customHeight="1" x14ac:dyDescent="0.25">
      <c r="A105" s="566" t="s">
        <v>733</v>
      </c>
      <c r="B105" s="169">
        <v>4</v>
      </c>
      <c r="C105" s="399"/>
      <c r="D105" s="303">
        <f>IF(D104=0,"",(D104/C104)-1)</f>
        <v>0.18298538442853829</v>
      </c>
      <c r="E105" s="303">
        <f>IF(E104=0,"",(E104/C104)-1)</f>
        <v>0.10075905669685881</v>
      </c>
      <c r="F105" s="303"/>
      <c r="G105" s="303"/>
      <c r="H105" s="303"/>
      <c r="I105" s="401"/>
      <c r="J105" s="403"/>
      <c r="K105" s="312">
        <f>IF(K104=0,"",(K104/C104)-1)</f>
        <v>0.18298538442853829</v>
      </c>
      <c r="L105" s="67"/>
      <c r="M105" s="67"/>
      <c r="N105" s="67"/>
    </row>
    <row r="106" spans="1:14" ht="12.75" customHeight="1" x14ac:dyDescent="0.25">
      <c r="A106" s="568" t="s">
        <v>137</v>
      </c>
      <c r="B106" s="236"/>
      <c r="C106" s="112">
        <f t="shared" ref="C106:I106" si="21">C30+C46+C83+C99</f>
        <v>295232437.24000001</v>
      </c>
      <c r="D106" s="56">
        <f t="shared" si="21"/>
        <v>351908391.02999997</v>
      </c>
      <c r="E106" s="55">
        <f t="shared" si="21"/>
        <v>325483419.72000003</v>
      </c>
      <c r="F106" s="55">
        <f t="shared" si="21"/>
        <v>26140700.330000006</v>
      </c>
      <c r="G106" s="55">
        <f t="shared" si="21"/>
        <v>157537230.60999998</v>
      </c>
      <c r="H106" s="55">
        <f t="shared" si="21"/>
        <v>152942168.62</v>
      </c>
      <c r="I106" s="55">
        <f t="shared" si="21"/>
        <v>4595061.9899999872</v>
      </c>
      <c r="J106" s="889">
        <f>IF(I106=0,"",I106/H106)</f>
        <v>3.0044441186242589E-2</v>
      </c>
      <c r="K106" s="235">
        <f>K30+K46+K83+K99</f>
        <v>351908391.02999997</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787</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614</v>
      </c>
    </row>
    <row r="113" spans="1:2" ht="12.75" customHeight="1" x14ac:dyDescent="0.25">
      <c r="A113" s="121" t="s">
        <v>839</v>
      </c>
    </row>
    <row r="114" spans="1:2" ht="12.75" customHeight="1" x14ac:dyDescent="0.25">
      <c r="A114" s="121" t="s">
        <v>840</v>
      </c>
    </row>
    <row r="115" spans="1:2" ht="12.75" customHeight="1" x14ac:dyDescent="0.25">
      <c r="A115" s="121" t="s">
        <v>764</v>
      </c>
    </row>
    <row r="116" spans="1:2" ht="12.75" customHeight="1" x14ac:dyDescent="0.25">
      <c r="A116" s="121" t="s">
        <v>765</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5"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view="pageBreakPreview" zoomScaleNormal="100" zoomScaleSheetLayoutView="100" workbookViewId="0">
      <pane xSplit="2" ySplit="4" topLeftCell="C5" activePane="bottomRight" state="frozen"/>
      <selection pane="topRight"/>
      <selection pane="bottomLeft"/>
      <selection pane="bottomRight" activeCell="H46" sqref="H46"/>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LIM333 Greater Tzaneen - Supporting Table SC9 Monthly Budget Statement - actuals and revised targets for cash receipts - M06 December</v>
      </c>
      <c r="B1" s="68"/>
    </row>
    <row r="2" spans="1:17" ht="25.5" customHeight="1" x14ac:dyDescent="0.25">
      <c r="A2" s="1024" t="str">
        <f>desc</f>
        <v>Description</v>
      </c>
      <c r="B2" s="1017" t="str">
        <f>head27</f>
        <v>Ref</v>
      </c>
      <c r="C2" s="1019" t="str">
        <f>Head2</f>
        <v>Budget Year 2019/20</v>
      </c>
      <c r="D2" s="1020"/>
      <c r="E2" s="1020"/>
      <c r="F2" s="1020"/>
      <c r="G2" s="1020"/>
      <c r="H2" s="1020"/>
      <c r="I2" s="1020"/>
      <c r="J2" s="1020"/>
      <c r="K2" s="1020"/>
      <c r="L2" s="1020"/>
      <c r="M2" s="1020"/>
      <c r="N2" s="1071"/>
      <c r="O2" s="1019" t="str">
        <f>'Template names'!B5</f>
        <v>2019/20 Medium Term Revenue &amp; Expenditure Framework</v>
      </c>
      <c r="P2" s="1020"/>
      <c r="Q2" s="1021"/>
    </row>
    <row r="3" spans="1:17" ht="12.75" customHeight="1" x14ac:dyDescent="0.25">
      <c r="A3" s="1025"/>
      <c r="B3" s="1028"/>
      <c r="C3" s="143" t="s">
        <v>793</v>
      </c>
      <c r="D3" s="27" t="s">
        <v>920</v>
      </c>
      <c r="E3" s="27" t="s">
        <v>3</v>
      </c>
      <c r="F3" s="27" t="s">
        <v>921</v>
      </c>
      <c r="G3" s="27" t="s">
        <v>4</v>
      </c>
      <c r="H3" s="27" t="s">
        <v>5</v>
      </c>
      <c r="I3" s="27" t="s">
        <v>924</v>
      </c>
      <c r="J3" s="27" t="s">
        <v>6</v>
      </c>
      <c r="K3" s="27" t="s">
        <v>926</v>
      </c>
      <c r="L3" s="27" t="s">
        <v>927</v>
      </c>
      <c r="M3" s="27" t="s">
        <v>928</v>
      </c>
      <c r="N3" s="163" t="s">
        <v>929</v>
      </c>
      <c r="O3" s="1069" t="str">
        <f>Head9</f>
        <v>Budget Year 2019/20</v>
      </c>
      <c r="P3" s="1065" t="str">
        <f>Head10</f>
        <v>Budget Year +1 2020/21</v>
      </c>
      <c r="Q3" s="1067" t="str">
        <f>Head11</f>
        <v>Budget Year +2 2021/22</v>
      </c>
    </row>
    <row r="4" spans="1:17" ht="13.5" customHeight="1" x14ac:dyDescent="0.25">
      <c r="A4" s="291" t="s">
        <v>676</v>
      </c>
      <c r="B4" s="248">
        <v>1</v>
      </c>
      <c r="C4" s="789" t="s">
        <v>559</v>
      </c>
      <c r="D4" s="790" t="s">
        <v>559</v>
      </c>
      <c r="E4" s="790" t="s">
        <v>559</v>
      </c>
      <c r="F4" s="790" t="s">
        <v>559</v>
      </c>
      <c r="G4" s="790" t="s">
        <v>559</v>
      </c>
      <c r="H4" s="790" t="s">
        <v>559</v>
      </c>
      <c r="I4" s="790" t="s">
        <v>51</v>
      </c>
      <c r="J4" s="790" t="s">
        <v>51</v>
      </c>
      <c r="K4" s="790" t="s">
        <v>51</v>
      </c>
      <c r="L4" s="790" t="s">
        <v>51</v>
      </c>
      <c r="M4" s="790" t="s">
        <v>51</v>
      </c>
      <c r="N4" s="791" t="s">
        <v>51</v>
      </c>
      <c r="O4" s="1070"/>
      <c r="P4" s="1066"/>
      <c r="Q4" s="1068"/>
    </row>
    <row r="5" spans="1:17" ht="12.75" customHeight="1" x14ac:dyDescent="0.25">
      <c r="A5" s="35" t="s">
        <v>947</v>
      </c>
      <c r="B5" s="38"/>
      <c r="C5" s="258"/>
      <c r="D5" s="238"/>
      <c r="E5" s="238"/>
      <c r="F5" s="238"/>
      <c r="G5" s="238"/>
      <c r="H5" s="238"/>
      <c r="I5" s="238"/>
      <c r="J5" s="238"/>
      <c r="K5" s="238"/>
      <c r="L5" s="238"/>
      <c r="M5" s="238"/>
      <c r="N5" s="316"/>
      <c r="O5" s="237"/>
      <c r="P5" s="238"/>
      <c r="Q5" s="285"/>
    </row>
    <row r="6" spans="1:17" ht="12.75" customHeight="1" x14ac:dyDescent="0.25">
      <c r="A6" s="39" t="s">
        <v>946</v>
      </c>
      <c r="B6" s="40"/>
      <c r="C6" s="754">
        <v>7044633</v>
      </c>
      <c r="D6" s="734">
        <v>8393691</v>
      </c>
      <c r="E6" s="734">
        <v>6913624.1100000003</v>
      </c>
      <c r="F6" s="734">
        <v>7576366.9400000004</v>
      </c>
      <c r="G6" s="734">
        <v>7045768.04</v>
      </c>
      <c r="H6" s="734">
        <v>7784940.6200000001</v>
      </c>
      <c r="I6" s="734">
        <v>7959251.3962304154</v>
      </c>
      <c r="J6" s="734">
        <v>8879934.8154676147</v>
      </c>
      <c r="K6" s="734">
        <v>9742694.5445442591</v>
      </c>
      <c r="L6" s="734">
        <v>9519831.5249093082</v>
      </c>
      <c r="M6" s="734">
        <v>8455682.4384750575</v>
      </c>
      <c r="N6" s="108">
        <f t="shared" ref="N6:N20" si="0">O6-SUM(C6:M6)</f>
        <v>11843581.570373341</v>
      </c>
      <c r="O6" s="746">
        <v>101160000</v>
      </c>
      <c r="P6" s="734">
        <v>106622640</v>
      </c>
      <c r="Q6" s="736">
        <v>112380532.2</v>
      </c>
    </row>
    <row r="7" spans="1:17" ht="12.75" customHeight="1" x14ac:dyDescent="0.25">
      <c r="A7" s="39" t="s">
        <v>845</v>
      </c>
      <c r="B7" s="40"/>
      <c r="C7" s="754">
        <v>41469378</v>
      </c>
      <c r="D7" s="734">
        <v>44693884</v>
      </c>
      <c r="E7" s="734">
        <v>56164291.43</v>
      </c>
      <c r="F7" s="734">
        <v>61018463.259999998</v>
      </c>
      <c r="G7" s="734">
        <v>44832984.719999999</v>
      </c>
      <c r="H7" s="734">
        <v>40801314.799999997</v>
      </c>
      <c r="I7" s="734">
        <v>44000745.437329106</v>
      </c>
      <c r="J7" s="734">
        <v>44308178.373837918</v>
      </c>
      <c r="K7" s="734">
        <v>41472624.428226635</v>
      </c>
      <c r="L7" s="734">
        <v>38092901.077175796</v>
      </c>
      <c r="M7" s="734">
        <v>51443659.471997127</v>
      </c>
      <c r="N7" s="108">
        <f t="shared" si="0"/>
        <v>22846095.001433372</v>
      </c>
      <c r="O7" s="746">
        <v>531144520</v>
      </c>
      <c r="P7" s="734">
        <v>559081124.08000004</v>
      </c>
      <c r="Q7" s="736">
        <v>588526304.38839996</v>
      </c>
    </row>
    <row r="8" spans="1:17" ht="12.75" customHeight="1" x14ac:dyDescent="0.25">
      <c r="A8" s="39" t="s">
        <v>846</v>
      </c>
      <c r="B8" s="40"/>
      <c r="C8" s="754">
        <v>1584035</v>
      </c>
      <c r="D8" s="734">
        <v>1362509</v>
      </c>
      <c r="E8" s="734">
        <v>2001904.3</v>
      </c>
      <c r="F8" s="734">
        <v>1847803.43</v>
      </c>
      <c r="G8" s="734">
        <v>2298166.36</v>
      </c>
      <c r="H8" s="734">
        <v>1833491.81</v>
      </c>
      <c r="I8" s="734"/>
      <c r="J8" s="734"/>
      <c r="K8" s="734"/>
      <c r="L8" s="734"/>
      <c r="M8" s="734"/>
      <c r="N8" s="108">
        <f t="shared" si="0"/>
        <v>-10927909.9</v>
      </c>
      <c r="O8" s="746"/>
      <c r="P8" s="734"/>
      <c r="Q8" s="736"/>
    </row>
    <row r="9" spans="1:17" ht="12.75" customHeight="1" x14ac:dyDescent="0.25">
      <c r="A9" s="39" t="s">
        <v>847</v>
      </c>
      <c r="B9" s="40"/>
      <c r="C9" s="754">
        <v>438582</v>
      </c>
      <c r="D9" s="734">
        <v>462919</v>
      </c>
      <c r="E9" s="734">
        <v>465756.06</v>
      </c>
      <c r="F9" s="734">
        <v>431820.91</v>
      </c>
      <c r="G9" s="734">
        <v>440490.92</v>
      </c>
      <c r="H9" s="734">
        <v>495670.44</v>
      </c>
      <c r="I9" s="734"/>
      <c r="J9" s="734"/>
      <c r="K9" s="734"/>
      <c r="L9" s="734"/>
      <c r="M9" s="734"/>
      <c r="N9" s="108">
        <f t="shared" si="0"/>
        <v>-2735239.33</v>
      </c>
      <c r="O9" s="746"/>
      <c r="P9" s="734"/>
      <c r="Q9" s="736"/>
    </row>
    <row r="10" spans="1:17" ht="12.75" customHeight="1" x14ac:dyDescent="0.25">
      <c r="A10" s="39" t="s">
        <v>492</v>
      </c>
      <c r="B10" s="40"/>
      <c r="C10" s="754">
        <v>3261857</v>
      </c>
      <c r="D10" s="734">
        <v>2666945.5866240235</v>
      </c>
      <c r="E10" s="734">
        <v>2221657.9500000002</v>
      </c>
      <c r="F10" s="734">
        <v>2441225.35</v>
      </c>
      <c r="G10" s="734">
        <v>2111358.35</v>
      </c>
      <c r="H10" s="734">
        <v>3423132.95</v>
      </c>
      <c r="I10" s="734">
        <v>2428029.8930075923</v>
      </c>
      <c r="J10" s="734">
        <v>2384328.9249765878</v>
      </c>
      <c r="K10" s="734">
        <v>2409846.1280994127</v>
      </c>
      <c r="L10" s="734">
        <v>2793545.0427508135</v>
      </c>
      <c r="M10" s="734">
        <v>2459854.146944806</v>
      </c>
      <c r="N10" s="108">
        <f t="shared" si="0"/>
        <v>2422143.1175967678</v>
      </c>
      <c r="O10" s="746">
        <v>31023924.440000001</v>
      </c>
      <c r="P10" s="734">
        <v>32699215.920000002</v>
      </c>
      <c r="Q10" s="736">
        <v>34464973.759999998</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978</v>
      </c>
      <c r="B12" s="40"/>
      <c r="C12" s="754">
        <v>1500</v>
      </c>
      <c r="D12" s="734">
        <v>1800</v>
      </c>
      <c r="E12" s="734">
        <v>2900</v>
      </c>
      <c r="F12" s="734">
        <v>7060</v>
      </c>
      <c r="G12" s="734">
        <v>3771187.67</v>
      </c>
      <c r="H12" s="734">
        <v>42095</v>
      </c>
      <c r="I12" s="734">
        <v>166205.08013959124</v>
      </c>
      <c r="J12" s="734">
        <v>157627.05918000548</v>
      </c>
      <c r="K12" s="734">
        <v>165612.67537718912</v>
      </c>
      <c r="L12" s="734">
        <v>157627.05918000548</v>
      </c>
      <c r="M12" s="734">
        <v>164878.09347181016</v>
      </c>
      <c r="N12" s="108">
        <f t="shared" si="0"/>
        <v>-2824160.6373486016</v>
      </c>
      <c r="O12" s="746">
        <v>1814332</v>
      </c>
      <c r="P12" s="734">
        <v>1912305.56</v>
      </c>
      <c r="Q12" s="736">
        <v>2015570.04</v>
      </c>
    </row>
    <row r="13" spans="1:17" ht="12.75" customHeight="1" x14ac:dyDescent="0.25">
      <c r="A13" s="39" t="s">
        <v>850</v>
      </c>
      <c r="B13" s="40"/>
      <c r="C13" s="754">
        <v>0</v>
      </c>
      <c r="D13" s="734">
        <v>195129</v>
      </c>
      <c r="E13" s="734">
        <v>0</v>
      </c>
      <c r="F13" s="734">
        <v>25616.46</v>
      </c>
      <c r="G13" s="734"/>
      <c r="H13" s="734"/>
      <c r="I13" s="734">
        <v>186843.06202505692</v>
      </c>
      <c r="J13" s="734">
        <v>120736.4093614265</v>
      </c>
      <c r="K13" s="734">
        <v>108801.50995525815</v>
      </c>
      <c r="L13" s="734">
        <v>1092501.2991047329</v>
      </c>
      <c r="M13" s="734">
        <v>42189.936425698615</v>
      </c>
      <c r="N13" s="108">
        <f t="shared" si="0"/>
        <v>1238882.3231278269</v>
      </c>
      <c r="O13" s="746">
        <v>3010700</v>
      </c>
      <c r="P13" s="734">
        <v>3173277.8</v>
      </c>
      <c r="Q13" s="736">
        <v>3344635</v>
      </c>
    </row>
    <row r="14" spans="1:17" ht="12.75" customHeight="1" x14ac:dyDescent="0.25">
      <c r="A14" s="39" t="s">
        <v>851</v>
      </c>
      <c r="B14" s="40"/>
      <c r="C14" s="754">
        <v>0</v>
      </c>
      <c r="D14" s="734">
        <v>0</v>
      </c>
      <c r="E14" s="734">
        <v>0</v>
      </c>
      <c r="F14" s="734">
        <v>0</v>
      </c>
      <c r="G14" s="734"/>
      <c r="H14" s="734"/>
      <c r="I14" s="734">
        <v>1046673.84237471</v>
      </c>
      <c r="J14" s="734">
        <v>997689.19432776095</v>
      </c>
      <c r="K14" s="734">
        <v>1054567.1748899601</v>
      </c>
      <c r="L14" s="734">
        <v>1093646.58313049</v>
      </c>
      <c r="M14" s="734">
        <v>875941.07015450904</v>
      </c>
      <c r="N14" s="108">
        <f t="shared" si="0"/>
        <v>6831482.1351225693</v>
      </c>
      <c r="O14" s="746">
        <v>11900000</v>
      </c>
      <c r="P14" s="734">
        <v>12542600</v>
      </c>
      <c r="Q14" s="736">
        <v>13219900.399999999</v>
      </c>
    </row>
    <row r="15" spans="1:17" ht="12.75" customHeight="1" x14ac:dyDescent="0.25">
      <c r="A15" s="39" t="s">
        <v>936</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1126</v>
      </c>
      <c r="B16" s="40"/>
      <c r="C16" s="754">
        <v>25906</v>
      </c>
      <c r="D16" s="734">
        <v>25930</v>
      </c>
      <c r="E16" s="734">
        <v>444693.02</v>
      </c>
      <c r="F16" s="734">
        <f>80535+123740</f>
        <v>204275</v>
      </c>
      <c r="G16" s="734">
        <v>132600</v>
      </c>
      <c r="H16" s="734">
        <v>274280</v>
      </c>
      <c r="I16" s="734">
        <v>271380.58558210201</v>
      </c>
      <c r="J16" s="734">
        <v>204106.155022639</v>
      </c>
      <c r="K16" s="734">
        <v>404257.36603152199</v>
      </c>
      <c r="L16" s="734">
        <v>455359.93713460601</v>
      </c>
      <c r="M16" s="734">
        <v>253083.60624085899</v>
      </c>
      <c r="N16" s="108">
        <f t="shared" si="0"/>
        <v>1355150.7299882723</v>
      </c>
      <c r="O16" s="746">
        <v>4051022.4</v>
      </c>
      <c r="P16" s="734">
        <v>4269777.3</v>
      </c>
      <c r="Q16" s="736">
        <v>4500345.6000000006</v>
      </c>
    </row>
    <row r="17" spans="1:17" ht="12.75" customHeight="1" x14ac:dyDescent="0.25">
      <c r="A17" s="39" t="s">
        <v>852</v>
      </c>
      <c r="B17" s="40"/>
      <c r="C17" s="754">
        <v>74385</v>
      </c>
      <c r="D17" s="734">
        <v>193077</v>
      </c>
      <c r="E17" s="734">
        <v>49941.88</v>
      </c>
      <c r="F17" s="734">
        <v>82031.92</v>
      </c>
      <c r="G17" s="734">
        <v>116859.92</v>
      </c>
      <c r="H17" s="734">
        <v>783190</v>
      </c>
      <c r="I17" s="734">
        <v>45414.243162257902</v>
      </c>
      <c r="J17" s="734">
        <v>53840.737791395317</v>
      </c>
      <c r="K17" s="734">
        <v>55482.297783229871</v>
      </c>
      <c r="L17" s="734">
        <v>67883.095550493119</v>
      </c>
      <c r="M17" s="734">
        <v>75703.454952382424</v>
      </c>
      <c r="N17" s="108">
        <f t="shared" si="0"/>
        <v>-846169.54923975863</v>
      </c>
      <c r="O17" s="746">
        <v>751640</v>
      </c>
      <c r="P17" s="734">
        <v>792228.56</v>
      </c>
      <c r="Q17" s="736">
        <v>835008.56</v>
      </c>
    </row>
    <row r="18" spans="1:17" ht="12.75" customHeight="1" x14ac:dyDescent="0.25">
      <c r="A18" s="39" t="s">
        <v>589</v>
      </c>
      <c r="B18" s="40"/>
      <c r="C18" s="754">
        <v>5778349</v>
      </c>
      <c r="D18" s="734">
        <v>4443379</v>
      </c>
      <c r="E18" s="734">
        <v>5350680.54</v>
      </c>
      <c r="F18" s="734">
        <v>5501700</v>
      </c>
      <c r="G18" s="734">
        <v>3996018</v>
      </c>
      <c r="H18" s="734">
        <v>4521975.18</v>
      </c>
      <c r="I18" s="734">
        <v>4209327.7522872211</v>
      </c>
      <c r="J18" s="734">
        <v>4375286.4766559713</v>
      </c>
      <c r="K18" s="734">
        <v>3031362.3703563232</v>
      </c>
      <c r="L18" s="734">
        <v>4683812.2875308739</v>
      </c>
      <c r="M18" s="734">
        <v>4683812.2875308739</v>
      </c>
      <c r="N18" s="108">
        <f t="shared" si="0"/>
        <v>-2277840.9943612739</v>
      </c>
      <c r="O18" s="746">
        <v>48297861.899999999</v>
      </c>
      <c r="P18" s="734">
        <v>50905946.700000003</v>
      </c>
      <c r="Q18" s="736">
        <v>53654868</v>
      </c>
    </row>
    <row r="19" spans="1:17" ht="12.75" customHeight="1" x14ac:dyDescent="0.25">
      <c r="A19" s="39" t="s">
        <v>138</v>
      </c>
      <c r="B19" s="40"/>
      <c r="C19" s="754">
        <v>163872000</v>
      </c>
      <c r="D19" s="734">
        <v>3583000</v>
      </c>
      <c r="E19" s="734">
        <v>0</v>
      </c>
      <c r="F19" s="734">
        <v>0</v>
      </c>
      <c r="G19" s="734">
        <v>6345147.6699999999</v>
      </c>
      <c r="H19" s="734">
        <v>127772000</v>
      </c>
      <c r="I19" s="734">
        <v>321153.8151481286</v>
      </c>
      <c r="J19" s="734">
        <v>1218031.6994946899</v>
      </c>
      <c r="K19" s="734">
        <v>113188816.81535721</v>
      </c>
      <c r="L19" s="734">
        <v>0</v>
      </c>
      <c r="M19" s="734">
        <v>0</v>
      </c>
      <c r="N19" s="108">
        <f t="shared" si="0"/>
        <v>0</v>
      </c>
      <c r="O19" s="746">
        <v>416300150</v>
      </c>
      <c r="P19" s="734">
        <v>446332500</v>
      </c>
      <c r="Q19" s="736">
        <v>466558050</v>
      </c>
    </row>
    <row r="20" spans="1:17" ht="12.75" customHeight="1" x14ac:dyDescent="0.25">
      <c r="A20" s="39" t="s">
        <v>460</v>
      </c>
      <c r="B20" s="40"/>
      <c r="C20" s="754">
        <v>3816401</v>
      </c>
      <c r="D20" s="734">
        <f>29564585-150672</f>
        <v>29413913</v>
      </c>
      <c r="E20" s="734">
        <f>41478333.81</f>
        <v>41478333.810000002</v>
      </c>
      <c r="F20" s="734">
        <v>23925650.510000002</v>
      </c>
      <c r="G20" s="734">
        <v>12913199.319999993</v>
      </c>
      <c r="H20" s="734">
        <v>1305598.1299999999</v>
      </c>
      <c r="I20" s="734">
        <v>736635.46996968472</v>
      </c>
      <c r="J20" s="734">
        <v>561775.92160141922</v>
      </c>
      <c r="K20" s="734">
        <v>503061.08484743536</v>
      </c>
      <c r="L20" s="734">
        <v>407292.40926248394</v>
      </c>
      <c r="M20" s="734">
        <f>10491988.241678-5000000</f>
        <v>5491988.2416779995</v>
      </c>
      <c r="N20" s="108">
        <f t="shared" si="0"/>
        <v>-110464538.19735901</v>
      </c>
      <c r="O20" s="746">
        <v>10089310.699999999</v>
      </c>
      <c r="P20" s="734">
        <v>10634133.800000001</v>
      </c>
      <c r="Q20" s="736">
        <v>11208376.940000001</v>
      </c>
    </row>
    <row r="21" spans="1:17" ht="12.75" customHeight="1" x14ac:dyDescent="0.25">
      <c r="A21" s="88" t="s">
        <v>948</v>
      </c>
      <c r="B21" s="52"/>
      <c r="C21" s="475">
        <f>SUM(C6:C10)+SUM(C12:C20)</f>
        <v>227367026</v>
      </c>
      <c r="D21" s="430">
        <f t="shared" ref="D21:Q21" si="1">SUM(D6:D10)+SUM(D12:D20)</f>
        <v>95436176.586624026</v>
      </c>
      <c r="E21" s="430">
        <f t="shared" si="1"/>
        <v>115093783.09999999</v>
      </c>
      <c r="F21" s="430">
        <f t="shared" si="1"/>
        <v>103062013.78</v>
      </c>
      <c r="G21" s="430">
        <f t="shared" si="1"/>
        <v>84003780.969999999</v>
      </c>
      <c r="H21" s="430">
        <f t="shared" si="1"/>
        <v>189037688.93000001</v>
      </c>
      <c r="I21" s="430">
        <f t="shared" si="1"/>
        <v>61371660.57725586</v>
      </c>
      <c r="J21" s="430">
        <f t="shared" si="1"/>
        <v>63261535.767717421</v>
      </c>
      <c r="K21" s="430">
        <f t="shared" si="1"/>
        <v>172137126.39546844</v>
      </c>
      <c r="L21" s="430">
        <f t="shared" si="1"/>
        <v>58364400.315729603</v>
      </c>
      <c r="M21" s="430">
        <f t="shared" si="1"/>
        <v>73946792.747871131</v>
      </c>
      <c r="N21" s="508">
        <f t="shared" si="1"/>
        <v>-83538523.730666488</v>
      </c>
      <c r="O21" s="475">
        <f t="shared" si="1"/>
        <v>1159543461.4400001</v>
      </c>
      <c r="P21" s="430">
        <f t="shared" si="1"/>
        <v>1228965749.72</v>
      </c>
      <c r="Q21" s="513">
        <f t="shared" si="1"/>
        <v>1290708564.8884001</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734</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v>31236000</v>
      </c>
      <c r="D24" s="734">
        <v>0</v>
      </c>
      <c r="E24" s="734">
        <v>0</v>
      </c>
      <c r="F24" s="734">
        <v>0</v>
      </c>
      <c r="G24" s="734">
        <v>32482000</v>
      </c>
      <c r="H24" s="734">
        <v>0</v>
      </c>
      <c r="I24" s="734">
        <v>0</v>
      </c>
      <c r="J24" s="734">
        <v>0</v>
      </c>
      <c r="K24" s="734">
        <v>25831849.999999996</v>
      </c>
      <c r="L24" s="734"/>
      <c r="M24" s="734"/>
      <c r="N24" s="108">
        <f t="shared" si="2"/>
        <v>0</v>
      </c>
      <c r="O24" s="746">
        <v>89549850</v>
      </c>
      <c r="P24" s="734">
        <v>94667500</v>
      </c>
      <c r="Q24" s="736">
        <v>102030950</v>
      </c>
    </row>
    <row r="25" spans="1:17" ht="12.75" customHeight="1" x14ac:dyDescent="0.25">
      <c r="A25" s="39" t="s">
        <v>918</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937</v>
      </c>
      <c r="B26" s="40"/>
      <c r="C26" s="754"/>
      <c r="D26" s="734"/>
      <c r="E26" s="734"/>
      <c r="F26" s="734"/>
      <c r="G26" s="734"/>
      <c r="H26" s="734"/>
      <c r="I26" s="734"/>
      <c r="J26" s="734"/>
      <c r="K26" s="734"/>
      <c r="L26" s="734"/>
      <c r="M26" s="734"/>
      <c r="N26" s="108">
        <f t="shared" si="2"/>
        <v>2500000</v>
      </c>
      <c r="O26" s="746">
        <v>2500000</v>
      </c>
      <c r="P26" s="734">
        <v>2635000</v>
      </c>
      <c r="Q26" s="736">
        <v>2777290</v>
      </c>
    </row>
    <row r="27" spans="1:17" ht="12.75" customHeight="1" x14ac:dyDescent="0.25">
      <c r="A27" s="39" t="s">
        <v>914</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973</v>
      </c>
      <c r="B28" s="40"/>
      <c r="C28" s="754">
        <v>0</v>
      </c>
      <c r="D28" s="734">
        <v>19947068</v>
      </c>
      <c r="E28" s="734">
        <v>0</v>
      </c>
      <c r="F28" s="734">
        <v>0</v>
      </c>
      <c r="G28" s="734">
        <v>0</v>
      </c>
      <c r="H28" s="734">
        <v>0</v>
      </c>
      <c r="I28" s="734">
        <v>0</v>
      </c>
      <c r="J28" s="734">
        <v>0</v>
      </c>
      <c r="K28" s="734"/>
      <c r="L28" s="734"/>
      <c r="M28" s="734"/>
      <c r="N28" s="108">
        <f t="shared" si="2"/>
        <v>52932</v>
      </c>
      <c r="O28" s="746">
        <v>20000000</v>
      </c>
      <c r="P28" s="734">
        <v>30000000</v>
      </c>
      <c r="Q28" s="736">
        <v>0</v>
      </c>
    </row>
    <row r="29" spans="1:17" ht="12.75" customHeight="1" x14ac:dyDescent="0.25">
      <c r="A29" s="39" t="s">
        <v>849</v>
      </c>
      <c r="B29" s="40"/>
      <c r="C29" s="754">
        <v>10790</v>
      </c>
      <c r="D29" s="734">
        <v>11065</v>
      </c>
      <c r="E29" s="734">
        <v>8580</v>
      </c>
      <c r="F29" s="734">
        <v>81695.490000000005</v>
      </c>
      <c r="G29" s="734">
        <v>7510</v>
      </c>
      <c r="H29" s="734">
        <v>14495</v>
      </c>
      <c r="I29" s="734">
        <v>127593.2514918376</v>
      </c>
      <c r="J29" s="734">
        <v>61542.569375880979</v>
      </c>
      <c r="K29" s="734">
        <v>58639.617990226216</v>
      </c>
      <c r="L29" s="734">
        <v>65350.558546475171</v>
      </c>
      <c r="M29" s="734">
        <v>58964.065498034688</v>
      </c>
      <c r="N29" s="108">
        <f t="shared" si="2"/>
        <v>593774.44709754526</v>
      </c>
      <c r="O29" s="746">
        <v>1100000</v>
      </c>
      <c r="P29" s="734">
        <v>1100000</v>
      </c>
      <c r="Q29" s="736">
        <v>1100000</v>
      </c>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v>-860000</v>
      </c>
      <c r="D32" s="734"/>
      <c r="E32" s="734"/>
      <c r="F32" s="734"/>
      <c r="G32" s="734"/>
      <c r="H32" s="734"/>
      <c r="I32" s="734"/>
      <c r="J32" s="734"/>
      <c r="K32" s="734"/>
      <c r="L32" s="734"/>
      <c r="M32" s="734"/>
      <c r="N32" s="108">
        <f t="shared" si="2"/>
        <v>-2851461.1530999988</v>
      </c>
      <c r="O32" s="746">
        <v>-3711461.1530999988</v>
      </c>
      <c r="P32" s="734">
        <v>-4203091.2722730041</v>
      </c>
      <c r="Q32" s="736">
        <v>38081714.595373005</v>
      </c>
    </row>
    <row r="33" spans="1:17" ht="12.75" customHeight="1" x14ac:dyDescent="0.25">
      <c r="A33" s="318" t="s">
        <v>931</v>
      </c>
      <c r="B33" s="319"/>
      <c r="C33" s="260">
        <f t="shared" ref="C33:Q33" si="3">SUM(C21:C32)</f>
        <v>257753816</v>
      </c>
      <c r="D33" s="73">
        <f t="shared" si="3"/>
        <v>115394309.58662403</v>
      </c>
      <c r="E33" s="73">
        <f t="shared" si="3"/>
        <v>115102363.09999999</v>
      </c>
      <c r="F33" s="73">
        <f t="shared" si="3"/>
        <v>103143709.27</v>
      </c>
      <c r="G33" s="73">
        <f t="shared" si="3"/>
        <v>116493290.97</v>
      </c>
      <c r="H33" s="73">
        <f t="shared" si="3"/>
        <v>189052183.93000001</v>
      </c>
      <c r="I33" s="73">
        <f t="shared" si="3"/>
        <v>61499253.828747697</v>
      </c>
      <c r="J33" s="73">
        <f t="shared" si="3"/>
        <v>63323078.337093301</v>
      </c>
      <c r="K33" s="73">
        <f t="shared" si="3"/>
        <v>198027616.01345867</v>
      </c>
      <c r="L33" s="73">
        <f t="shared" si="3"/>
        <v>58429750.874276079</v>
      </c>
      <c r="M33" s="73">
        <f t="shared" si="3"/>
        <v>74005756.81336917</v>
      </c>
      <c r="N33" s="320">
        <f t="shared" si="3"/>
        <v>-83243278.436668947</v>
      </c>
      <c r="O33" s="74">
        <f t="shared" si="3"/>
        <v>1268981850.2869</v>
      </c>
      <c r="P33" s="73">
        <f t="shared" si="3"/>
        <v>1353165158.447727</v>
      </c>
      <c r="Q33" s="145">
        <f t="shared" si="3"/>
        <v>1434698519.483773</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949</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854</v>
      </c>
      <c r="B36" s="40"/>
      <c r="C36" s="754">
        <v>31491052.539999999</v>
      </c>
      <c r="D36" s="734">
        <v>29204721.509999983</v>
      </c>
      <c r="E36" s="734">
        <v>28990224.359999988</v>
      </c>
      <c r="F36" s="734">
        <v>29374303.11999999</v>
      </c>
      <c r="G36" s="734">
        <v>26095582.309999999</v>
      </c>
      <c r="H36" s="734">
        <v>26361776.539999999</v>
      </c>
      <c r="I36" s="734">
        <v>33186770.471187167</v>
      </c>
      <c r="J36" s="734">
        <v>29094219.123077866</v>
      </c>
      <c r="K36" s="734">
        <v>28226195.401072327</v>
      </c>
      <c r="L36" s="734">
        <v>29028699.875269827</v>
      </c>
      <c r="M36" s="734">
        <v>28262927.791145653</v>
      </c>
      <c r="N36" s="108">
        <f t="shared" si="4"/>
        <v>41339872.958247185</v>
      </c>
      <c r="O36" s="746">
        <v>360656346</v>
      </c>
      <c r="P36" s="734">
        <v>379872974</v>
      </c>
      <c r="Q36" s="736">
        <v>400517702</v>
      </c>
    </row>
    <row r="37" spans="1:17" ht="12.75" customHeight="1" x14ac:dyDescent="0.25">
      <c r="A37" s="39" t="s">
        <v>484</v>
      </c>
      <c r="B37" s="40"/>
      <c r="C37" s="754">
        <v>2197016.9000000004</v>
      </c>
      <c r="D37" s="734">
        <v>2196104.27</v>
      </c>
      <c r="E37" s="734">
        <v>2195108.2200000002</v>
      </c>
      <c r="F37" s="734">
        <v>2216941.1</v>
      </c>
      <c r="G37" s="734">
        <v>2206205.5499999998</v>
      </c>
      <c r="H37" s="734">
        <v>2205321.12</v>
      </c>
      <c r="I37" s="734">
        <v>2296762.4753874475</v>
      </c>
      <c r="J37" s="734">
        <v>2466508.4900329132</v>
      </c>
      <c r="K37" s="734">
        <v>2428591.2037467537</v>
      </c>
      <c r="L37" s="734">
        <v>2413016.3376850528</v>
      </c>
      <c r="M37" s="734">
        <v>2452005.3292874708</v>
      </c>
      <c r="N37" s="108">
        <f t="shared" si="4"/>
        <v>3730410.0038603619</v>
      </c>
      <c r="O37" s="746">
        <v>29003991</v>
      </c>
      <c r="P37" s="734">
        <v>30617353</v>
      </c>
      <c r="Q37" s="736">
        <v>32307246</v>
      </c>
    </row>
    <row r="38" spans="1:17" ht="12.75" customHeight="1" x14ac:dyDescent="0.25">
      <c r="A38" s="39" t="s">
        <v>856</v>
      </c>
      <c r="B38" s="40"/>
      <c r="C38" s="754">
        <v>249380.17910935712</v>
      </c>
      <c r="D38" s="734">
        <v>167383.51</v>
      </c>
      <c r="E38" s="734">
        <v>1939730.31</v>
      </c>
      <c r="F38" s="734">
        <v>1999649.56</v>
      </c>
      <c r="G38" s="734">
        <v>159400.17000000001</v>
      </c>
      <c r="H38" s="734">
        <v>2783134.38</v>
      </c>
      <c r="I38" s="734">
        <v>705496.40061638062</v>
      </c>
      <c r="J38" s="734">
        <v>219821.05428481294</v>
      </c>
      <c r="K38" s="734">
        <v>705981.0792534264</v>
      </c>
      <c r="L38" s="734">
        <v>2434071.4675037204</v>
      </c>
      <c r="M38" s="734">
        <v>444068.06240543438</v>
      </c>
      <c r="N38" s="108">
        <f t="shared" si="4"/>
        <v>2850197.8268268686</v>
      </c>
      <c r="O38" s="746">
        <v>14658314</v>
      </c>
      <c r="P38" s="734">
        <v>12552036</v>
      </c>
      <c r="Q38" s="736">
        <v>9964209</v>
      </c>
    </row>
    <row r="39" spans="1:17" ht="12.75" customHeight="1" x14ac:dyDescent="0.25">
      <c r="A39" s="39" t="s">
        <v>930</v>
      </c>
      <c r="B39" s="40"/>
      <c r="C39" s="754">
        <v>65149735</v>
      </c>
      <c r="D39" s="734">
        <v>8725127.3599999994</v>
      </c>
      <c r="E39" s="734">
        <v>55232634.370000005</v>
      </c>
      <c r="F39" s="734">
        <v>6521739.1299999999</v>
      </c>
      <c r="G39" s="734">
        <v>22181115.140000001</v>
      </c>
      <c r="H39" s="734">
        <v>86149888.620000005</v>
      </c>
      <c r="I39" s="734">
        <v>25946413.279384147</v>
      </c>
      <c r="J39" s="734">
        <v>28532760.978781335</v>
      </c>
      <c r="K39" s="734">
        <v>28288980.47884272</v>
      </c>
      <c r="L39" s="734">
        <v>27457040.259553812</v>
      </c>
      <c r="M39" s="734">
        <v>23847626.579864193</v>
      </c>
      <c r="N39" s="108">
        <f t="shared" si="4"/>
        <v>24966938.803573787</v>
      </c>
      <c r="O39" s="746">
        <v>403000000</v>
      </c>
      <c r="P39" s="734">
        <v>424762000</v>
      </c>
      <c r="Q39" s="736">
        <v>447699148</v>
      </c>
    </row>
    <row r="40" spans="1:17" ht="12.75" customHeight="1" x14ac:dyDescent="0.25">
      <c r="A40" s="86" t="s">
        <v>933</v>
      </c>
      <c r="B40" s="40"/>
      <c r="C40" s="754"/>
      <c r="D40" s="734">
        <v>451272.54</v>
      </c>
      <c r="E40" s="734">
        <v>614750.56999999995</v>
      </c>
      <c r="F40" s="734">
        <v>543804.68999999994</v>
      </c>
      <c r="G40" s="734">
        <v>509141.03</v>
      </c>
      <c r="H40" s="734">
        <v>447655.86</v>
      </c>
      <c r="I40" s="734"/>
      <c r="J40" s="734"/>
      <c r="K40" s="734"/>
      <c r="L40" s="734"/>
      <c r="M40" s="734"/>
      <c r="N40" s="108">
        <f t="shared" si="4"/>
        <v>-2566624.69</v>
      </c>
      <c r="O40" s="746"/>
      <c r="P40" s="734"/>
      <c r="Q40" s="736"/>
    </row>
    <row r="41" spans="1:17" ht="12.75" customHeight="1" x14ac:dyDescent="0.25">
      <c r="A41" s="86" t="s">
        <v>935</v>
      </c>
      <c r="B41" s="40"/>
      <c r="C41" s="754">
        <v>3390302.5900000008</v>
      </c>
      <c r="D41" s="734">
        <v>3753191.419999999</v>
      </c>
      <c r="E41" s="734">
        <v>1646677.1700000004</v>
      </c>
      <c r="F41" s="734">
        <v>4396811.5299999993</v>
      </c>
      <c r="G41" s="734">
        <v>5992183.1999999993</v>
      </c>
      <c r="H41" s="734">
        <v>2715325.91</v>
      </c>
      <c r="I41" s="734">
        <v>5936535.439970566</v>
      </c>
      <c r="J41" s="734">
        <v>2196727.9036727436</v>
      </c>
      <c r="K41" s="734">
        <v>10153241.435274644</v>
      </c>
      <c r="L41" s="734">
        <v>2822417.6382836867</v>
      </c>
      <c r="M41" s="734">
        <v>3134255.5627479246</v>
      </c>
      <c r="N41" s="108">
        <f t="shared" si="4"/>
        <v>12305973.010050446</v>
      </c>
      <c r="O41" s="746">
        <v>58443642.810000002</v>
      </c>
      <c r="P41" s="734">
        <v>61599599.521739975</v>
      </c>
      <c r="Q41" s="736">
        <v>64925977.895913944</v>
      </c>
    </row>
    <row r="42" spans="1:17" ht="12.75" customHeight="1" x14ac:dyDescent="0.25">
      <c r="A42" s="86" t="s">
        <v>858</v>
      </c>
      <c r="B42" s="40"/>
      <c r="C42" s="754">
        <v>3702678.2499999995</v>
      </c>
      <c r="D42" s="734">
        <v>5060454.7100000009</v>
      </c>
      <c r="E42" s="734">
        <v>6373729.5599999996</v>
      </c>
      <c r="F42" s="734">
        <v>6601145.8099999996</v>
      </c>
      <c r="G42" s="734">
        <v>6983303.4100000001</v>
      </c>
      <c r="H42" s="734">
        <v>6210916.5100000016</v>
      </c>
      <c r="I42" s="734">
        <v>5430614.8179923166</v>
      </c>
      <c r="J42" s="734">
        <v>2579298.8910211031</v>
      </c>
      <c r="K42" s="734">
        <v>8155135.5554968445</v>
      </c>
      <c r="L42" s="734">
        <v>2227343.2537418571</v>
      </c>
      <c r="M42" s="734">
        <v>7557764.7462705281</v>
      </c>
      <c r="N42" s="108">
        <f t="shared" si="4"/>
        <v>13362496.485477351</v>
      </c>
      <c r="O42" s="746">
        <v>74244882</v>
      </c>
      <c r="P42" s="734">
        <v>78283243.628000006</v>
      </c>
      <c r="Q42" s="736">
        <v>82549490.783912003</v>
      </c>
    </row>
    <row r="43" spans="1:17" ht="12.75" customHeight="1" x14ac:dyDescent="0.25">
      <c r="A43" s="86" t="s">
        <v>939</v>
      </c>
      <c r="B43" s="40"/>
      <c r="C43" s="754">
        <v>0</v>
      </c>
      <c r="D43" s="734">
        <v>0</v>
      </c>
      <c r="E43" s="734">
        <v>0</v>
      </c>
      <c r="F43" s="734">
        <v>0</v>
      </c>
      <c r="G43" s="734">
        <v>0</v>
      </c>
      <c r="H43" s="734">
        <v>0</v>
      </c>
      <c r="I43" s="734">
        <v>0</v>
      </c>
      <c r="J43" s="734">
        <v>0</v>
      </c>
      <c r="K43" s="734">
        <v>0</v>
      </c>
      <c r="L43" s="734">
        <v>0</v>
      </c>
      <c r="M43" s="734">
        <v>0</v>
      </c>
      <c r="N43" s="108">
        <f t="shared" si="4"/>
        <v>0</v>
      </c>
      <c r="O43" s="746"/>
      <c r="P43" s="734"/>
      <c r="Q43" s="736"/>
    </row>
    <row r="44" spans="1:17" ht="12.75" customHeight="1" x14ac:dyDescent="0.25">
      <c r="A44" s="86" t="s">
        <v>940</v>
      </c>
      <c r="B44" s="40"/>
      <c r="C44" s="754">
        <v>951660.47</v>
      </c>
      <c r="D44" s="734">
        <v>1614239</v>
      </c>
      <c r="E44" s="734">
        <v>1249524.98</v>
      </c>
      <c r="F44" s="734">
        <v>948050.62999999989</v>
      </c>
      <c r="G44" s="734">
        <v>2677251</v>
      </c>
      <c r="H44" s="734">
        <v>2149446.38</v>
      </c>
      <c r="I44" s="734">
        <v>815850.27481946594</v>
      </c>
      <c r="J44" s="734">
        <v>3304170.332626868</v>
      </c>
      <c r="K44" s="734">
        <v>1029661.6161324328</v>
      </c>
      <c r="L44" s="734">
        <v>3611356.4648291441</v>
      </c>
      <c r="M44" s="734">
        <v>5857391.5215707161</v>
      </c>
      <c r="N44" s="108">
        <f t="shared" si="4"/>
        <v>10839070.330021374</v>
      </c>
      <c r="O44" s="746">
        <v>35047673</v>
      </c>
      <c r="P44" s="734">
        <v>35684971.342</v>
      </c>
      <c r="Q44" s="736">
        <v>23280129.794468001</v>
      </c>
    </row>
    <row r="45" spans="1:17" ht="12.75" customHeight="1" x14ac:dyDescent="0.25">
      <c r="A45" s="86" t="s">
        <v>859</v>
      </c>
      <c r="B45" s="40"/>
      <c r="C45" s="754">
        <v>52973162</v>
      </c>
      <c r="D45" s="734">
        <v>56253187</v>
      </c>
      <c r="E45" s="734">
        <v>22974137</v>
      </c>
      <c r="F45" s="734">
        <v>27145010</v>
      </c>
      <c r="G45" s="734">
        <v>20162854.039999999</v>
      </c>
      <c r="H45" s="734">
        <v>66601981.409999996</v>
      </c>
      <c r="I45" s="734">
        <v>8189697.0541765215</v>
      </c>
      <c r="J45" s="734">
        <v>9234873.7162278984</v>
      </c>
      <c r="K45" s="734">
        <v>7087738.390835003</v>
      </c>
      <c r="L45" s="734">
        <v>21945266.603422966</v>
      </c>
      <c r="M45" s="734">
        <v>8801203.9542898666</v>
      </c>
      <c r="N45" s="108">
        <f t="shared" si="4"/>
        <v>-165625565.16895217</v>
      </c>
      <c r="O45" s="746">
        <v>135743546</v>
      </c>
      <c r="P45" s="734">
        <v>137529140</v>
      </c>
      <c r="Q45" s="736">
        <v>209241558</v>
      </c>
    </row>
    <row r="46" spans="1:17" ht="12.75" customHeight="1" x14ac:dyDescent="0.25">
      <c r="A46" s="88" t="s">
        <v>949</v>
      </c>
      <c r="B46" s="52">
        <f>SUM(B36:B45)</f>
        <v>0</v>
      </c>
      <c r="C46" s="475">
        <f>SUM(C36:C45)</f>
        <v>160104987.92910936</v>
      </c>
      <c r="D46" s="430">
        <f t="shared" ref="D46:Q46" si="5">SUM(D36:D45)</f>
        <v>107425681.31999999</v>
      </c>
      <c r="E46" s="430">
        <f t="shared" si="5"/>
        <v>121216516.53999999</v>
      </c>
      <c r="F46" s="430">
        <f t="shared" si="5"/>
        <v>79747455.569999993</v>
      </c>
      <c r="G46" s="430">
        <f t="shared" si="5"/>
        <v>86967035.849999994</v>
      </c>
      <c r="H46" s="430">
        <f t="shared" si="5"/>
        <v>195625446.72999999</v>
      </c>
      <c r="I46" s="430">
        <f t="shared" si="5"/>
        <v>82508140.213534012</v>
      </c>
      <c r="J46" s="430">
        <f t="shared" si="5"/>
        <v>77628380.489725545</v>
      </c>
      <c r="K46" s="430">
        <f t="shared" si="5"/>
        <v>86075525.160654157</v>
      </c>
      <c r="L46" s="430">
        <f t="shared" si="5"/>
        <v>91939211.900290072</v>
      </c>
      <c r="M46" s="430">
        <f t="shared" si="5"/>
        <v>80357243.547581792</v>
      </c>
      <c r="N46" s="508">
        <f t="shared" si="5"/>
        <v>-58797230.440894783</v>
      </c>
      <c r="O46" s="475">
        <f t="shared" si="5"/>
        <v>1110798394.8099999</v>
      </c>
      <c r="P46" s="430">
        <f t="shared" si="5"/>
        <v>1160901317.49174</v>
      </c>
      <c r="Q46" s="513">
        <f t="shared" si="5"/>
        <v>1270485461.4742942</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677</v>
      </c>
      <c r="B48" s="40"/>
      <c r="C48" s="258"/>
      <c r="D48" s="44"/>
      <c r="E48" s="44"/>
      <c r="F48" s="44"/>
      <c r="G48" s="44"/>
      <c r="H48" s="44"/>
      <c r="I48" s="44"/>
      <c r="J48" s="44"/>
      <c r="K48" s="44"/>
      <c r="L48" s="44"/>
      <c r="M48" s="44"/>
      <c r="N48" s="108"/>
      <c r="O48" s="46"/>
      <c r="P48" s="44"/>
      <c r="Q48" s="144"/>
    </row>
    <row r="49" spans="1:17" ht="12.75" customHeight="1" x14ac:dyDescent="0.25">
      <c r="A49" s="86" t="s">
        <v>708</v>
      </c>
      <c r="B49" s="40"/>
      <c r="C49" s="754">
        <v>5554740.2300000004</v>
      </c>
      <c r="D49" s="734">
        <v>24246351.16</v>
      </c>
      <c r="E49" s="734">
        <v>4790238.71</v>
      </c>
      <c r="F49" s="734">
        <v>4804471.47</v>
      </c>
      <c r="G49" s="734">
        <v>9915031.4600000009</v>
      </c>
      <c r="H49" s="734">
        <v>25314667.419999998</v>
      </c>
      <c r="I49" s="734">
        <v>399811.25853370689</v>
      </c>
      <c r="J49" s="734">
        <v>14266338.007173449</v>
      </c>
      <c r="K49" s="734">
        <v>17674684.207717944</v>
      </c>
      <c r="L49" s="734">
        <v>9341106.3602419719</v>
      </c>
      <c r="M49" s="734">
        <v>4112506.2486829832</v>
      </c>
      <c r="N49" s="108">
        <f>O49-SUM(C49:M49)</f>
        <v>16664903.467649966</v>
      </c>
      <c r="O49" s="746">
        <v>137084850</v>
      </c>
      <c r="P49" s="734">
        <v>152879390</v>
      </c>
      <c r="Q49" s="736">
        <v>130956282.06</v>
      </c>
    </row>
    <row r="50" spans="1:17" ht="12.75" customHeight="1" x14ac:dyDescent="0.25">
      <c r="A50" s="86" t="s">
        <v>913</v>
      </c>
      <c r="B50" s="40"/>
      <c r="C50" s="754">
        <v>296527.13</v>
      </c>
      <c r="D50" s="734">
        <v>152267.68</v>
      </c>
      <c r="E50" s="734">
        <v>15147561</v>
      </c>
      <c r="F50" s="734">
        <v>148407.10999999999</v>
      </c>
      <c r="G50" s="734">
        <v>160251.01999999999</v>
      </c>
      <c r="H50" s="734">
        <v>954136.99</v>
      </c>
      <c r="I50" s="734">
        <v>483205.71086881118</v>
      </c>
      <c r="J50" s="734">
        <v>438784.93759237102</v>
      </c>
      <c r="K50" s="734">
        <v>33579.546555549401</v>
      </c>
      <c r="L50" s="734">
        <v>1700669.6154125228</v>
      </c>
      <c r="M50" s="734">
        <v>3369009.598420715</v>
      </c>
      <c r="N50" s="108">
        <f>O50-SUM(C50:M50)</f>
        <v>2430827.3711500317</v>
      </c>
      <c r="O50" s="746">
        <v>25315227.710000001</v>
      </c>
      <c r="P50" s="734">
        <v>25979923.699999999</v>
      </c>
      <c r="Q50" s="736">
        <v>25880204.800000001</v>
      </c>
    </row>
    <row r="51" spans="1:17" ht="12.75" customHeight="1" x14ac:dyDescent="0.25">
      <c r="A51" s="86" t="s">
        <v>2</v>
      </c>
      <c r="B51" s="40"/>
      <c r="C51" s="754">
        <v>65000000</v>
      </c>
      <c r="D51" s="734"/>
      <c r="E51" s="734"/>
      <c r="F51" s="734"/>
      <c r="G51" s="734"/>
      <c r="H51" s="734"/>
      <c r="I51" s="734"/>
      <c r="J51" s="734"/>
      <c r="K51" s="734"/>
      <c r="L51" s="734"/>
      <c r="M51" s="734"/>
      <c r="N51" s="108">
        <f>O51-SUM(C51:M51)</f>
        <v>-65000000</v>
      </c>
      <c r="O51" s="746"/>
      <c r="P51" s="734"/>
      <c r="Q51" s="736"/>
    </row>
    <row r="52" spans="1:17" ht="12.75" customHeight="1" x14ac:dyDescent="0.25">
      <c r="A52" s="318" t="s">
        <v>932</v>
      </c>
      <c r="B52" s="319">
        <f t="shared" ref="B52:Q52" si="6">SUM(B46:B51)</f>
        <v>0</v>
      </c>
      <c r="C52" s="260">
        <f t="shared" si="6"/>
        <v>230956255.28910935</v>
      </c>
      <c r="D52" s="73">
        <f t="shared" si="6"/>
        <v>131824300.16</v>
      </c>
      <c r="E52" s="73">
        <f t="shared" si="6"/>
        <v>141154316.25</v>
      </c>
      <c r="F52" s="73">
        <f t="shared" si="6"/>
        <v>84700334.149999991</v>
      </c>
      <c r="G52" s="73">
        <f t="shared" si="6"/>
        <v>97042318.329999998</v>
      </c>
      <c r="H52" s="73">
        <f t="shared" si="6"/>
        <v>221894251.13999999</v>
      </c>
      <c r="I52" s="73">
        <f t="shared" si="6"/>
        <v>83391157.182936519</v>
      </c>
      <c r="J52" s="73">
        <f t="shared" si="6"/>
        <v>92333503.434491366</v>
      </c>
      <c r="K52" s="73">
        <f t="shared" si="6"/>
        <v>103783788.91492765</v>
      </c>
      <c r="L52" s="73">
        <f t="shared" si="6"/>
        <v>102980987.87594457</v>
      </c>
      <c r="M52" s="73">
        <f t="shared" si="6"/>
        <v>87838759.394685477</v>
      </c>
      <c r="N52" s="320">
        <f t="shared" si="6"/>
        <v>-104701499.60209478</v>
      </c>
      <c r="O52" s="74">
        <f t="shared" si="6"/>
        <v>1273198472.52</v>
      </c>
      <c r="P52" s="73">
        <f t="shared" si="6"/>
        <v>1339760631.19174</v>
      </c>
      <c r="Q52" s="145">
        <f t="shared" si="6"/>
        <v>1427321948.3342941</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582</v>
      </c>
      <c r="B54" s="181">
        <f t="shared" ref="B54:Q54" si="7">B33-B52</f>
        <v>0</v>
      </c>
      <c r="C54" s="259">
        <f t="shared" si="7"/>
        <v>26797560.710890651</v>
      </c>
      <c r="D54" s="50">
        <f t="shared" si="7"/>
        <v>-16429990.57337597</v>
      </c>
      <c r="E54" s="50">
        <f t="shared" si="7"/>
        <v>-26051953.150000006</v>
      </c>
      <c r="F54" s="50">
        <f t="shared" si="7"/>
        <v>18443375.120000005</v>
      </c>
      <c r="G54" s="50">
        <f t="shared" si="7"/>
        <v>19450972.640000001</v>
      </c>
      <c r="H54" s="50">
        <f t="shared" si="7"/>
        <v>-32842067.209999979</v>
      </c>
      <c r="I54" s="50">
        <f t="shared" si="7"/>
        <v>-21891903.354188822</v>
      </c>
      <c r="J54" s="50">
        <f t="shared" si="7"/>
        <v>-29010425.097398065</v>
      </c>
      <c r="K54" s="50">
        <f t="shared" si="7"/>
        <v>94243827.098531023</v>
      </c>
      <c r="L54" s="50">
        <f t="shared" si="7"/>
        <v>-44551237.00166849</v>
      </c>
      <c r="M54" s="50">
        <f t="shared" si="7"/>
        <v>-13833002.581316307</v>
      </c>
      <c r="N54" s="110">
        <f t="shared" si="7"/>
        <v>21458221.165425837</v>
      </c>
      <c r="O54" s="51">
        <f t="shared" si="7"/>
        <v>-4216622.2330999374</v>
      </c>
      <c r="P54" s="50">
        <f t="shared" si="7"/>
        <v>13404527.255986929</v>
      </c>
      <c r="Q54" s="194">
        <f t="shared" si="7"/>
        <v>7376571.1494789124</v>
      </c>
    </row>
    <row r="55" spans="1:17" ht="12.75" customHeight="1" x14ac:dyDescent="0.25">
      <c r="A55" s="86" t="s">
        <v>576</v>
      </c>
      <c r="B55" s="40"/>
      <c r="C55" s="754">
        <v>42033011</v>
      </c>
      <c r="D55" s="44">
        <f>C56</f>
        <v>68830571.710890651</v>
      </c>
      <c r="E55" s="44">
        <f t="shared" ref="E55:N55" si="8">D56</f>
        <v>52400581.137514681</v>
      </c>
      <c r="F55" s="44">
        <f t="shared" si="8"/>
        <v>26348627.987514675</v>
      </c>
      <c r="G55" s="44">
        <f t="shared" si="8"/>
        <v>44792003.107514679</v>
      </c>
      <c r="H55" s="44">
        <f t="shared" si="8"/>
        <v>64242975.74751468</v>
      </c>
      <c r="I55" s="44">
        <f t="shared" si="8"/>
        <v>31400908.537514701</v>
      </c>
      <c r="J55" s="44">
        <f t="shared" si="8"/>
        <v>9509005.1833258793</v>
      </c>
      <c r="K55" s="44">
        <f t="shared" si="8"/>
        <v>-19501419.914072186</v>
      </c>
      <c r="L55" s="44">
        <f t="shared" si="8"/>
        <v>74742407.184458837</v>
      </c>
      <c r="M55" s="44">
        <f t="shared" si="8"/>
        <v>30191170.182790346</v>
      </c>
      <c r="N55" s="108">
        <f t="shared" si="8"/>
        <v>16358167.601474039</v>
      </c>
      <c r="O55" s="46">
        <f>C55</f>
        <v>42033011</v>
      </c>
      <c r="P55" s="44">
        <f>O56</f>
        <v>37816388.766900063</v>
      </c>
      <c r="Q55" s="144">
        <f>P56</f>
        <v>51220916.022886992</v>
      </c>
    </row>
    <row r="56" spans="1:17" ht="12.75" customHeight="1" x14ac:dyDescent="0.25">
      <c r="A56" s="321" t="s">
        <v>678</v>
      </c>
      <c r="B56" s="176"/>
      <c r="C56" s="299">
        <f>C54+C55</f>
        <v>68830571.710890651</v>
      </c>
      <c r="D56" s="115">
        <f>D54+D55</f>
        <v>52400581.137514681</v>
      </c>
      <c r="E56" s="115">
        <f t="shared" ref="E56:N56" si="9">E54+E55</f>
        <v>26348627.987514675</v>
      </c>
      <c r="F56" s="115">
        <f t="shared" si="9"/>
        <v>44792003.107514679</v>
      </c>
      <c r="G56" s="115">
        <f t="shared" si="9"/>
        <v>64242975.74751468</v>
      </c>
      <c r="H56" s="115">
        <f t="shared" si="9"/>
        <v>31400908.537514701</v>
      </c>
      <c r="I56" s="115">
        <f t="shared" si="9"/>
        <v>9509005.1833258793</v>
      </c>
      <c r="J56" s="115">
        <f t="shared" si="9"/>
        <v>-19501419.914072186</v>
      </c>
      <c r="K56" s="115">
        <f t="shared" si="9"/>
        <v>74742407.184458837</v>
      </c>
      <c r="L56" s="115">
        <f t="shared" si="9"/>
        <v>30191170.182790346</v>
      </c>
      <c r="M56" s="115">
        <f t="shared" si="9"/>
        <v>16358167.601474039</v>
      </c>
      <c r="N56" s="317">
        <f t="shared" si="9"/>
        <v>37816388.766899876</v>
      </c>
      <c r="O56" s="116">
        <f>O54+O55</f>
        <v>37816388.766900063</v>
      </c>
      <c r="P56" s="115">
        <f>P54+P55</f>
        <v>51220916.022886992</v>
      </c>
      <c r="Q56" s="190">
        <f>Q54+Q55</f>
        <v>58597487.172365904</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121216516.53999999</v>
      </c>
      <c r="F65" s="85">
        <f t="shared" si="10"/>
        <v>79747455.569999993</v>
      </c>
      <c r="G65" s="85">
        <f t="shared" si="10"/>
        <v>86967035.849999994</v>
      </c>
      <c r="H65" s="85">
        <f t="shared" si="10"/>
        <v>195625446.72999999</v>
      </c>
      <c r="I65" s="85">
        <f t="shared" si="10"/>
        <v>82508140.213534012</v>
      </c>
      <c r="J65" s="85">
        <f t="shared" si="10"/>
        <v>77628380.489725545</v>
      </c>
      <c r="K65" s="85">
        <f t="shared" si="10"/>
        <v>86075525.160654157</v>
      </c>
      <c r="L65" s="85">
        <f t="shared" si="10"/>
        <v>91939211.900290072</v>
      </c>
      <c r="M65" s="85"/>
      <c r="N65" s="85">
        <f>N46+N64</f>
        <v>-58797230.440894783</v>
      </c>
      <c r="O65" s="85">
        <f t="shared" si="10"/>
        <v>1110798394.8099999</v>
      </c>
      <c r="P65" s="85">
        <f t="shared" si="10"/>
        <v>1160901317.49174</v>
      </c>
    </row>
    <row r="66" spans="5:16" x14ac:dyDescent="0.25">
      <c r="E66" s="85">
        <f t="shared" ref="E66:P66" si="11">E54-E64</f>
        <v>-26051953.150000006</v>
      </c>
      <c r="F66" s="85">
        <f t="shared" si="11"/>
        <v>18443375.120000005</v>
      </c>
      <c r="G66" s="85">
        <f t="shared" si="11"/>
        <v>19450972.640000001</v>
      </c>
      <c r="H66" s="85">
        <f t="shared" si="11"/>
        <v>-32842067.209999979</v>
      </c>
      <c r="I66" s="85">
        <f t="shared" si="11"/>
        <v>-21891903.354188822</v>
      </c>
      <c r="J66" s="85">
        <f t="shared" si="11"/>
        <v>-29010425.097398065</v>
      </c>
      <c r="K66" s="85">
        <f t="shared" si="11"/>
        <v>94243827.098531023</v>
      </c>
      <c r="L66" s="85">
        <f t="shared" si="11"/>
        <v>-44551237.00166849</v>
      </c>
      <c r="M66" s="85">
        <f>M54-M64</f>
        <v>-13833002.581316307</v>
      </c>
      <c r="N66" s="85">
        <f>N54-N64</f>
        <v>21458221.165425837</v>
      </c>
      <c r="O66" s="85">
        <f t="shared" si="11"/>
        <v>-4216622.2330999374</v>
      </c>
      <c r="P66" s="85">
        <f t="shared" si="11"/>
        <v>13404527.255986929</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5" type="noConversion"/>
  <printOptions horizontalCentered="1"/>
  <pageMargins left="0.55000000000000004" right="0.19685039370078741" top="0.52" bottom="0.23" header="0.51181102362204722" footer="0.21"/>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35" activePane="bottomRight" state="frozen"/>
      <selection pane="topRight"/>
      <selection pane="bottomLeft"/>
      <selection pane="bottomRight" activeCell="H39" sqref="H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"&amp;S71P&amp; " - "&amp;Head57</f>
        <v>LIM333 Greater Tzaneen - Supporting Table SC10 Monthly Budget Statement  - Parent Municipality Financial Performance (revenue and expenditure)  - M06 December</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676</v>
      </c>
      <c r="B4" s="248">
        <v>1</v>
      </c>
      <c r="C4" s="292"/>
      <c r="D4" s="293"/>
      <c r="E4" s="294"/>
      <c r="F4" s="295"/>
      <c r="G4" s="295"/>
      <c r="H4" s="295"/>
      <c r="I4" s="295"/>
      <c r="J4" s="296" t="s">
        <v>583</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119183221</v>
      </c>
      <c r="D6" s="746">
        <v>112400000</v>
      </c>
      <c r="E6" s="734">
        <v>112400000</v>
      </c>
      <c r="F6" s="734">
        <v>10552298.24</v>
      </c>
      <c r="G6" s="734">
        <v>63148084.869999997</v>
      </c>
      <c r="H6" s="734">
        <v>59311593.960000001</v>
      </c>
      <c r="I6" s="44">
        <f t="shared" ref="I6:I21" si="0">G6-H6</f>
        <v>3836490.9099999964</v>
      </c>
      <c r="J6" s="330">
        <f>IF(I6=0,"",I6/H6)</f>
        <v>6.4683658857446022E-2</v>
      </c>
      <c r="K6" s="736">
        <v>112400000</v>
      </c>
    </row>
    <row r="7" spans="1:11" ht="12.75" customHeight="1" x14ac:dyDescent="0.25">
      <c r="A7" s="39" t="str">
        <f>'C4-FinPerf RE'!A7</f>
        <v>Service charges - electricity revenue</v>
      </c>
      <c r="B7" s="169"/>
      <c r="C7" s="749">
        <v>449863850.95999998</v>
      </c>
      <c r="D7" s="746">
        <v>577331000</v>
      </c>
      <c r="E7" s="734">
        <v>570331000</v>
      </c>
      <c r="F7" s="734">
        <v>37511115.810000002</v>
      </c>
      <c r="G7" s="734">
        <v>294007804.49000001</v>
      </c>
      <c r="H7" s="734">
        <v>269161766.47000003</v>
      </c>
      <c r="I7" s="44">
        <f t="shared" si="0"/>
        <v>24846038.019999981</v>
      </c>
      <c r="J7" s="330">
        <f t="shared" ref="J7:J22" si="1">IF(I7=0,"",I7/H7)</f>
        <v>9.2308942484107398E-2</v>
      </c>
      <c r="K7" s="736">
        <v>577331000</v>
      </c>
    </row>
    <row r="8" spans="1:11" ht="12.75" customHeight="1" x14ac:dyDescent="0.25">
      <c r="A8" s="86" t="str">
        <f>'C4-FinPerf RE'!A8</f>
        <v>Service charges - water revenue</v>
      </c>
      <c r="B8" s="171"/>
      <c r="C8" s="749"/>
      <c r="D8" s="746"/>
      <c r="E8" s="734"/>
      <c r="F8" s="734"/>
      <c r="G8" s="734"/>
      <c r="H8" s="734"/>
      <c r="I8" s="44">
        <f t="shared" si="0"/>
        <v>0</v>
      </c>
      <c r="J8" s="330" t="str">
        <f t="shared" si="1"/>
        <v/>
      </c>
      <c r="K8" s="736"/>
    </row>
    <row r="9" spans="1:11" ht="12.75" customHeight="1" x14ac:dyDescent="0.25">
      <c r="A9" s="86" t="str">
        <f>'C4-FinPerf RE'!A9</f>
        <v>Service charges - sanitation revenue</v>
      </c>
      <c r="B9" s="171"/>
      <c r="C9" s="749"/>
      <c r="D9" s="746"/>
      <c r="E9" s="734"/>
      <c r="F9" s="734"/>
      <c r="G9" s="734"/>
      <c r="H9" s="734"/>
      <c r="I9" s="44">
        <f t="shared" si="0"/>
        <v>0</v>
      </c>
      <c r="J9" s="330" t="str">
        <f t="shared" si="1"/>
        <v/>
      </c>
      <c r="K9" s="736"/>
    </row>
    <row r="10" spans="1:11" ht="12.75" customHeight="1" x14ac:dyDescent="0.25">
      <c r="A10" s="86" t="str">
        <f>'C4-FinPerf RE'!A10</f>
        <v>Service charges - refuse revenue</v>
      </c>
      <c r="B10" s="171"/>
      <c r="C10" s="749">
        <v>33052322</v>
      </c>
      <c r="D10" s="746">
        <v>33721657</v>
      </c>
      <c r="E10" s="746">
        <v>33721657</v>
      </c>
      <c r="F10" s="734">
        <v>2771554.89</v>
      </c>
      <c r="G10" s="734">
        <v>17070951.670000002</v>
      </c>
      <c r="H10" s="734">
        <v>16838102.649999999</v>
      </c>
      <c r="I10" s="44">
        <f t="shared" si="0"/>
        <v>232849.02000000328</v>
      </c>
      <c r="J10" s="330">
        <f t="shared" si="1"/>
        <v>1.3828697023652086E-2</v>
      </c>
      <c r="K10" s="736">
        <v>33721657</v>
      </c>
    </row>
    <row r="11" spans="1:11" ht="0.95" customHeight="1" x14ac:dyDescent="0.25">
      <c r="A11" s="86"/>
      <c r="B11" s="171"/>
      <c r="C11" s="649"/>
      <c r="D11" s="650"/>
      <c r="E11" s="408"/>
      <c r="F11" s="408"/>
      <c r="G11" s="408"/>
      <c r="H11" s="408"/>
      <c r="I11" s="408"/>
      <c r="J11" s="949"/>
      <c r="K11" s="643"/>
    </row>
    <row r="12" spans="1:11" ht="12.75" customHeight="1" x14ac:dyDescent="0.25">
      <c r="A12" s="86" t="str">
        <f>'C4-FinPerf RE'!A12</f>
        <v>Rental of facilities and equipment</v>
      </c>
      <c r="B12" s="171"/>
      <c r="C12" s="749">
        <v>2132852.52</v>
      </c>
      <c r="D12" s="746">
        <v>1972100</v>
      </c>
      <c r="E12" s="734">
        <v>1972100</v>
      </c>
      <c r="F12" s="734">
        <v>127251.09</v>
      </c>
      <c r="G12" s="734">
        <v>488796.47</v>
      </c>
      <c r="H12" s="734">
        <v>1221433.55</v>
      </c>
      <c r="I12" s="44">
        <f t="shared" si="0"/>
        <v>-732637.08000000007</v>
      </c>
      <c r="J12" s="330">
        <f t="shared" si="1"/>
        <v>-0.59981738670924833</v>
      </c>
      <c r="K12" s="736">
        <v>1972100</v>
      </c>
    </row>
    <row r="13" spans="1:11" ht="12.75" customHeight="1" x14ac:dyDescent="0.25">
      <c r="A13" s="86" t="str">
        <f>'C4-FinPerf RE'!A13</f>
        <v>Interest earned - external investments</v>
      </c>
      <c r="B13" s="171"/>
      <c r="C13" s="749">
        <v>9615814.0199999996</v>
      </c>
      <c r="D13" s="746">
        <v>4301000</v>
      </c>
      <c r="E13" s="734">
        <v>4301000</v>
      </c>
      <c r="F13" s="734">
        <v>207711.31</v>
      </c>
      <c r="G13" s="734">
        <v>2114063.89</v>
      </c>
      <c r="H13" s="734">
        <v>2631410.0699999998</v>
      </c>
      <c r="I13" s="44">
        <f t="shared" si="0"/>
        <v>-517346.1799999997</v>
      </c>
      <c r="J13" s="330">
        <f t="shared" si="1"/>
        <v>-0.19660416515773224</v>
      </c>
      <c r="K13" s="736">
        <v>4301000</v>
      </c>
    </row>
    <row r="14" spans="1:11" ht="12.75" customHeight="1" x14ac:dyDescent="0.25">
      <c r="A14" s="86" t="str">
        <f>'C4-FinPerf RE'!A14</f>
        <v>Interest earned - outstanding debtors</v>
      </c>
      <c r="B14" s="171"/>
      <c r="C14" s="749">
        <v>17826053.129999999</v>
      </c>
      <c r="D14" s="746">
        <v>17000000</v>
      </c>
      <c r="E14" s="734">
        <v>17000000</v>
      </c>
      <c r="F14" s="734">
        <v>2072293.21</v>
      </c>
      <c r="G14" s="734">
        <v>12228662.560000001</v>
      </c>
      <c r="H14" s="734">
        <v>11578900.09</v>
      </c>
      <c r="I14" s="44">
        <f t="shared" si="0"/>
        <v>649762.47000000067</v>
      </c>
      <c r="J14" s="330">
        <f t="shared" si="1"/>
        <v>5.6116078811420222E-2</v>
      </c>
      <c r="K14" s="736">
        <v>17000000</v>
      </c>
    </row>
    <row r="15" spans="1:11" ht="12.75" customHeight="1" x14ac:dyDescent="0.25">
      <c r="A15" s="86" t="str">
        <f>'C4-FinPerf RE'!A15</f>
        <v>Dividends received</v>
      </c>
      <c r="B15" s="171"/>
      <c r="C15" s="749"/>
      <c r="D15" s="746"/>
      <c r="E15" s="734"/>
      <c r="F15" s="734"/>
      <c r="G15" s="734"/>
      <c r="H15" s="734"/>
      <c r="I15" s="44">
        <f t="shared" si="0"/>
        <v>0</v>
      </c>
      <c r="J15" s="330" t="str">
        <f t="shared" si="1"/>
        <v/>
      </c>
      <c r="K15" s="736"/>
    </row>
    <row r="16" spans="1:11" ht="12.75" customHeight="1" x14ac:dyDescent="0.25">
      <c r="A16" s="86" t="str">
        <f>'C4-FinPerf RE'!A16</f>
        <v>Fines, penalties and forfeits</v>
      </c>
      <c r="B16" s="171"/>
      <c r="C16" s="749">
        <v>32189439.129999999</v>
      </c>
      <c r="D16" s="746">
        <v>38501136</v>
      </c>
      <c r="E16" s="734">
        <v>38501136</v>
      </c>
      <c r="F16" s="734">
        <v>171231.61</v>
      </c>
      <c r="G16" s="734">
        <v>1070758.17</v>
      </c>
      <c r="H16" s="734">
        <v>2230390.9700000002</v>
      </c>
      <c r="I16" s="44">
        <f t="shared" si="0"/>
        <v>-1159632.8000000003</v>
      </c>
      <c r="J16" s="330">
        <f t="shared" si="1"/>
        <v>-0.51992355403052948</v>
      </c>
      <c r="K16" s="736">
        <v>38501136</v>
      </c>
    </row>
    <row r="17" spans="1:11" ht="12.75" customHeight="1" x14ac:dyDescent="0.25">
      <c r="A17" s="86" t="str">
        <f>'C4-FinPerf RE'!A17</f>
        <v>Licences and permits</v>
      </c>
      <c r="B17" s="171"/>
      <c r="C17" s="749">
        <v>1020674.22</v>
      </c>
      <c r="D17" s="746">
        <v>817000</v>
      </c>
      <c r="E17" s="734">
        <v>817000</v>
      </c>
      <c r="F17" s="734">
        <v>45645.24</v>
      </c>
      <c r="G17" s="734">
        <v>730160.97</v>
      </c>
      <c r="H17" s="734">
        <v>549094.22</v>
      </c>
      <c r="I17" s="44">
        <f t="shared" si="0"/>
        <v>181066.75</v>
      </c>
      <c r="J17" s="330">
        <f t="shared" si="1"/>
        <v>0.32975533779976779</v>
      </c>
      <c r="K17" s="736">
        <v>817000</v>
      </c>
    </row>
    <row r="18" spans="1:11" ht="12.75" customHeight="1" x14ac:dyDescent="0.25">
      <c r="A18" s="86" t="str">
        <f>'C4-FinPerf RE'!A18</f>
        <v>Agency services</v>
      </c>
      <c r="B18" s="171"/>
      <c r="C18" s="749">
        <v>9254073.7599999998</v>
      </c>
      <c r="D18" s="746">
        <v>53664291</v>
      </c>
      <c r="E18" s="734">
        <v>53664291</v>
      </c>
      <c r="F18" s="734">
        <v>5873279.3899999997</v>
      </c>
      <c r="G18" s="734">
        <v>33983258.329999998</v>
      </c>
      <c r="H18" s="734">
        <v>28292774.010000002</v>
      </c>
      <c r="I18" s="44">
        <f t="shared" si="0"/>
        <v>5690484.3199999966</v>
      </c>
      <c r="J18" s="330">
        <f t="shared" si="1"/>
        <v>0.20112853967549138</v>
      </c>
      <c r="K18" s="736">
        <v>53664291</v>
      </c>
    </row>
    <row r="19" spans="1:11" ht="12.75" customHeight="1" x14ac:dyDescent="0.25">
      <c r="A19" s="86" t="str">
        <f>'C4-FinPerf RE'!A19</f>
        <v>Transfers and subsidies</v>
      </c>
      <c r="B19" s="171"/>
      <c r="C19" s="749">
        <v>356544299.81</v>
      </c>
      <c r="D19" s="746">
        <v>416300150</v>
      </c>
      <c r="E19" s="734">
        <v>417337256.26999998</v>
      </c>
      <c r="F19" s="734">
        <v>127772000</v>
      </c>
      <c r="G19" s="734">
        <v>305815000</v>
      </c>
      <c r="H19" s="734">
        <v>267940312.84</v>
      </c>
      <c r="I19" s="44">
        <f t="shared" si="0"/>
        <v>37874687.159999996</v>
      </c>
      <c r="J19" s="330">
        <f t="shared" si="1"/>
        <v>0.14135494117533851</v>
      </c>
      <c r="K19" s="736">
        <v>416300150</v>
      </c>
    </row>
    <row r="20" spans="1:11" ht="12.75" customHeight="1" x14ac:dyDescent="0.25">
      <c r="A20" s="86" t="str">
        <f>'C4-FinPerf RE'!A20</f>
        <v>Other revenue</v>
      </c>
      <c r="B20" s="171"/>
      <c r="C20" s="749">
        <v>28520193</v>
      </c>
      <c r="D20" s="746">
        <v>13618123</v>
      </c>
      <c r="E20" s="734">
        <v>13618123</v>
      </c>
      <c r="F20" s="734">
        <v>187993.88</v>
      </c>
      <c r="G20" s="734">
        <v>2294862.9900000002</v>
      </c>
      <c r="H20" s="734">
        <v>2949772.57</v>
      </c>
      <c r="I20" s="44">
        <f t="shared" si="0"/>
        <v>-654909.57999999961</v>
      </c>
      <c r="J20" s="330">
        <f t="shared" si="1"/>
        <v>-0.2220203640987819</v>
      </c>
      <c r="K20" s="736">
        <v>13618123</v>
      </c>
    </row>
    <row r="21" spans="1:11" ht="12.75" customHeight="1" x14ac:dyDescent="0.25">
      <c r="A21" s="39" t="str">
        <f>'C4-FinPerf RE'!A21</f>
        <v>Gains on disposal of PPE</v>
      </c>
      <c r="B21" s="169"/>
      <c r="C21" s="749"/>
      <c r="D21" s="746"/>
      <c r="E21" s="734"/>
      <c r="F21" s="734"/>
      <c r="G21" s="734"/>
      <c r="H21" s="734"/>
      <c r="I21" s="44">
        <f t="shared" si="0"/>
        <v>0</v>
      </c>
      <c r="J21" s="330" t="str">
        <f t="shared" si="1"/>
        <v/>
      </c>
      <c r="K21" s="736"/>
    </row>
    <row r="22" spans="1:11" ht="12.75" customHeight="1" x14ac:dyDescent="0.25">
      <c r="A22" s="548" t="s">
        <v>140</v>
      </c>
      <c r="B22" s="548"/>
      <c r="C22" s="243">
        <f t="shared" ref="C22:H22" si="2">SUM(C6:C10)+SUM(C12:C21)</f>
        <v>1059202793.5500001</v>
      </c>
      <c r="D22" s="74">
        <f t="shared" si="2"/>
        <v>1269626457</v>
      </c>
      <c r="E22" s="73">
        <f t="shared" si="2"/>
        <v>1263663563.27</v>
      </c>
      <c r="F22" s="73">
        <f t="shared" si="2"/>
        <v>187292374.66999999</v>
      </c>
      <c r="G22" s="73">
        <f t="shared" si="2"/>
        <v>732952404.41000009</v>
      </c>
      <c r="H22" s="73">
        <f t="shared" si="2"/>
        <v>662705551.39999998</v>
      </c>
      <c r="I22" s="73">
        <f>G22-H22</f>
        <v>70246853.01000011</v>
      </c>
      <c r="J22" s="331">
        <f t="shared" si="1"/>
        <v>0.10600009742124535</v>
      </c>
      <c r="K22" s="145">
        <f>SUM(K6:K10)+SUM(K12:K21)</f>
        <v>1269626457</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295232470.99999994</v>
      </c>
      <c r="D25" s="746">
        <v>357557390.95999998</v>
      </c>
      <c r="E25" s="734">
        <v>325483419.34999996</v>
      </c>
      <c r="F25" s="734">
        <v>26140700.329999987</v>
      </c>
      <c r="G25" s="734">
        <v>157537230.61000007</v>
      </c>
      <c r="H25" s="734">
        <v>147778045.63</v>
      </c>
      <c r="I25" s="44">
        <f t="shared" ref="I25:I44" si="3">G25-H25</f>
        <v>9759184.9800000787</v>
      </c>
      <c r="J25" s="330">
        <f t="shared" ref="J25:J44" si="4">IF(I25=0,"",I25/H25)</f>
        <v>6.6039477910234956E-2</v>
      </c>
      <c r="K25" s="736">
        <v>357557390.95999998</v>
      </c>
    </row>
    <row r="26" spans="1:11" ht="12.75" customHeight="1" x14ac:dyDescent="0.25">
      <c r="A26" s="39" t="str">
        <f>'C4-FinPerf RE'!A26</f>
        <v>Remuneration of councillors</v>
      </c>
      <c r="B26" s="169"/>
      <c r="C26" s="749">
        <v>26136302</v>
      </c>
      <c r="D26" s="746">
        <v>28967131</v>
      </c>
      <c r="E26" s="734">
        <v>28266131</v>
      </c>
      <c r="F26" s="734">
        <v>2205321.12</v>
      </c>
      <c r="G26" s="734">
        <v>13216697.16</v>
      </c>
      <c r="H26" s="734">
        <v>12662443.319999998</v>
      </c>
      <c r="I26" s="44">
        <f t="shared" si="3"/>
        <v>554253.84000000171</v>
      </c>
      <c r="J26" s="330">
        <f t="shared" si="4"/>
        <v>4.377147648310277E-2</v>
      </c>
      <c r="K26" s="736">
        <v>28967131</v>
      </c>
    </row>
    <row r="27" spans="1:11" ht="12.75" customHeight="1" x14ac:dyDescent="0.25">
      <c r="A27" s="39" t="str">
        <f>'C4-FinPerf RE'!A27</f>
        <v>Debt impairment</v>
      </c>
      <c r="B27" s="171"/>
      <c r="C27" s="749">
        <v>132298457</v>
      </c>
      <c r="D27" s="746">
        <v>72600000</v>
      </c>
      <c r="E27" s="734">
        <v>53057400</v>
      </c>
      <c r="F27" s="734"/>
      <c r="G27" s="734"/>
      <c r="H27" s="734"/>
      <c r="I27" s="44">
        <f t="shared" si="3"/>
        <v>0</v>
      </c>
      <c r="J27" s="330" t="str">
        <f t="shared" si="4"/>
        <v/>
      </c>
      <c r="K27" s="736">
        <v>72600000</v>
      </c>
    </row>
    <row r="28" spans="1:11" ht="12.75" customHeight="1" x14ac:dyDescent="0.25">
      <c r="A28" s="39" t="str">
        <f>'C4-FinPerf RE'!A28</f>
        <v>Depreciation &amp; asset impairment</v>
      </c>
      <c r="B28" s="171"/>
      <c r="C28" s="749">
        <v>127724087</v>
      </c>
      <c r="D28" s="746">
        <v>134196513</v>
      </c>
      <c r="E28" s="734">
        <v>130000000</v>
      </c>
      <c r="F28" s="734"/>
      <c r="G28" s="734"/>
      <c r="H28" s="734"/>
      <c r="I28" s="44">
        <f t="shared" si="3"/>
        <v>0</v>
      </c>
      <c r="J28" s="330" t="str">
        <f t="shared" si="4"/>
        <v/>
      </c>
      <c r="K28" s="736">
        <v>134196513</v>
      </c>
    </row>
    <row r="29" spans="1:11" ht="12.75" customHeight="1" x14ac:dyDescent="0.25">
      <c r="A29" s="39" t="str">
        <f>'C4-FinPerf RE'!A29</f>
        <v>Finance charges</v>
      </c>
      <c r="B29" s="171"/>
      <c r="C29" s="749">
        <v>11973760</v>
      </c>
      <c r="D29" s="746">
        <v>14658314</v>
      </c>
      <c r="E29" s="734">
        <v>14658314</v>
      </c>
      <c r="F29" s="734">
        <v>2783134.38</v>
      </c>
      <c r="G29" s="734">
        <v>7392184.7800000003</v>
      </c>
      <c r="H29" s="734">
        <v>4680920.99</v>
      </c>
      <c r="I29" s="44">
        <f t="shared" si="3"/>
        <v>2711263.79</v>
      </c>
      <c r="J29" s="330">
        <f t="shared" si="4"/>
        <v>0.57921588418009162</v>
      </c>
      <c r="K29" s="736">
        <v>14658314</v>
      </c>
    </row>
    <row r="30" spans="1:11" ht="12.75" customHeight="1" x14ac:dyDescent="0.25">
      <c r="A30" s="39" t="str">
        <f>'C4-FinPerf RE'!A30</f>
        <v>Bulk purchases</v>
      </c>
      <c r="B30" s="171"/>
      <c r="C30" s="749">
        <v>348443869</v>
      </c>
      <c r="D30" s="746">
        <v>403000000</v>
      </c>
      <c r="E30" s="734">
        <v>403000000</v>
      </c>
      <c r="F30" s="734">
        <v>86149888.620000005</v>
      </c>
      <c r="G30" s="734">
        <v>178810504.62</v>
      </c>
      <c r="H30" s="734">
        <v>150499364.65000001</v>
      </c>
      <c r="I30" s="44">
        <f t="shared" si="3"/>
        <v>28311139.969999999</v>
      </c>
      <c r="J30" s="330">
        <f t="shared" si="4"/>
        <v>0.18811468098779111</v>
      </c>
      <c r="K30" s="736">
        <v>403000000</v>
      </c>
    </row>
    <row r="31" spans="1:11" ht="12.75" customHeight="1" x14ac:dyDescent="0.25">
      <c r="A31" s="39" t="str">
        <f>'C4-FinPerf RE'!A31</f>
        <v>Other materials</v>
      </c>
      <c r="B31" s="171"/>
      <c r="C31" s="749">
        <v>42157906</v>
      </c>
      <c r="D31" s="746">
        <v>71608248.810000002</v>
      </c>
      <c r="E31" s="734">
        <v>54968561.810000002</v>
      </c>
      <c r="F31" s="734">
        <v>3808075.689999999</v>
      </c>
      <c r="G31" s="734">
        <v>22815669.389999997</v>
      </c>
      <c r="H31" s="734">
        <v>28448052.970000003</v>
      </c>
      <c r="I31" s="44">
        <f t="shared" si="3"/>
        <v>-5632383.5800000057</v>
      </c>
      <c r="J31" s="330">
        <f t="shared" si="4"/>
        <v>-0.1979883679891786</v>
      </c>
      <c r="K31" s="736">
        <v>71608248.810000002</v>
      </c>
    </row>
    <row r="32" spans="1:11" ht="12.75" customHeight="1" x14ac:dyDescent="0.25">
      <c r="A32" s="39" t="str">
        <f>'C4-FinPerf RE'!A32</f>
        <v>Contracted services</v>
      </c>
      <c r="B32" s="171"/>
      <c r="C32" s="749">
        <v>51435443</v>
      </c>
      <c r="D32" s="746">
        <v>74244882</v>
      </c>
      <c r="E32" s="734">
        <v>67815519</v>
      </c>
      <c r="F32" s="734">
        <v>6210916.5100000007</v>
      </c>
      <c r="G32" s="734">
        <v>32506670.379999999</v>
      </c>
      <c r="H32" s="734">
        <v>22757519.380000003</v>
      </c>
      <c r="I32" s="44">
        <f t="shared" si="3"/>
        <v>9749150.9999999963</v>
      </c>
      <c r="J32" s="330">
        <f t="shared" si="4"/>
        <v>0.4283925166539832</v>
      </c>
      <c r="K32" s="736">
        <v>74244882</v>
      </c>
    </row>
    <row r="33" spans="1:11" ht="12.75" customHeight="1" x14ac:dyDescent="0.25">
      <c r="A33" s="39" t="str">
        <f>'C4-FinPerf RE'!A33</f>
        <v>Transfers and subsidies</v>
      </c>
      <c r="B33" s="171"/>
      <c r="C33" s="749">
        <v>50297361</v>
      </c>
      <c r="D33" s="746">
        <v>36021812</v>
      </c>
      <c r="E33" s="734">
        <v>34666106.270000003</v>
      </c>
      <c r="F33" s="734">
        <v>2149446.38</v>
      </c>
      <c r="G33" s="734">
        <v>9590172.4600000009</v>
      </c>
      <c r="H33" s="734">
        <v>6370994.6799999997</v>
      </c>
      <c r="I33" s="44">
        <f t="shared" si="3"/>
        <v>3219177.7800000012</v>
      </c>
      <c r="J33" s="330">
        <f t="shared" si="4"/>
        <v>0.50528652772317195</v>
      </c>
      <c r="K33" s="736">
        <v>36021812</v>
      </c>
    </row>
    <row r="34" spans="1:11" ht="12.75" customHeight="1" x14ac:dyDescent="0.25">
      <c r="A34" s="39" t="str">
        <f>'C4-FinPerf RE'!A34</f>
        <v>Other expenditure</v>
      </c>
      <c r="B34" s="171"/>
      <c r="C34" s="749">
        <v>126645010</v>
      </c>
      <c r="D34" s="746">
        <v>121042687.19000001</v>
      </c>
      <c r="E34" s="734">
        <v>116630180.19000001</v>
      </c>
      <c r="F34" s="734">
        <v>19416044.010000002</v>
      </c>
      <c r="G34" s="734">
        <v>82373397.739999995</v>
      </c>
      <c r="H34" s="734">
        <v>195673.34000000003</v>
      </c>
      <c r="I34" s="44">
        <f t="shared" si="3"/>
        <v>82177724.399999991</v>
      </c>
      <c r="J34" s="330">
        <f t="shared" si="4"/>
        <v>419.9740465410361</v>
      </c>
      <c r="K34" s="736">
        <v>121042687.19000001</v>
      </c>
    </row>
    <row r="35" spans="1:11" ht="12.75" customHeight="1" x14ac:dyDescent="0.25">
      <c r="A35" s="39" t="str">
        <f>'C4-FinPerf RE'!A35</f>
        <v>Loss on disposal of PPE</v>
      </c>
      <c r="B35" s="169"/>
      <c r="C35" s="749"/>
      <c r="D35" s="746"/>
      <c r="E35" s="734"/>
      <c r="F35" s="734"/>
      <c r="G35" s="734"/>
      <c r="H35" s="734">
        <v>71047180.759999976</v>
      </c>
      <c r="I35" s="44">
        <f t="shared" si="3"/>
        <v>-71047180.759999976</v>
      </c>
      <c r="J35" s="330">
        <f t="shared" si="4"/>
        <v>-1</v>
      </c>
      <c r="K35" s="736"/>
    </row>
    <row r="36" spans="1:11" ht="12.75" customHeight="1" x14ac:dyDescent="0.25">
      <c r="A36" s="350" t="s">
        <v>495</v>
      </c>
      <c r="B36" s="570"/>
      <c r="C36" s="243">
        <f t="shared" ref="C36:H36" si="5">SUM(C25:C35)</f>
        <v>1212344666</v>
      </c>
      <c r="D36" s="74">
        <f t="shared" si="5"/>
        <v>1313896978.96</v>
      </c>
      <c r="E36" s="73">
        <f t="shared" si="5"/>
        <v>1228545631.6199999</v>
      </c>
      <c r="F36" s="73">
        <f t="shared" si="5"/>
        <v>148863527.03999999</v>
      </c>
      <c r="G36" s="73">
        <f t="shared" si="5"/>
        <v>504242527.14000005</v>
      </c>
      <c r="H36" s="73">
        <f t="shared" si="5"/>
        <v>444440195.72000003</v>
      </c>
      <c r="I36" s="73">
        <f t="shared" si="3"/>
        <v>59802331.420000017</v>
      </c>
      <c r="J36" s="331">
        <f t="shared" si="4"/>
        <v>0.13455653200566009</v>
      </c>
      <c r="K36" s="145">
        <f>SUM(K25:K35)</f>
        <v>1313896978.96</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-153141872.44999993</v>
      </c>
      <c r="D38" s="46">
        <f t="shared" si="6"/>
        <v>-44270521.960000038</v>
      </c>
      <c r="E38" s="44">
        <f t="shared" si="6"/>
        <v>35117931.650000095</v>
      </c>
      <c r="F38" s="44">
        <f t="shared" si="6"/>
        <v>38428847.629999995</v>
      </c>
      <c r="G38" s="44">
        <f t="shared" si="6"/>
        <v>228709877.27000004</v>
      </c>
      <c r="H38" s="44">
        <f t="shared" si="6"/>
        <v>218265355.67999995</v>
      </c>
      <c r="I38" s="44">
        <f t="shared" si="3"/>
        <v>10444521.590000093</v>
      </c>
      <c r="J38" s="330">
        <f t="shared" si="4"/>
        <v>4.7852402216835843E-2</v>
      </c>
      <c r="K38" s="144">
        <f>K22-K36</f>
        <v>-44270521.960000038</v>
      </c>
    </row>
    <row r="39" spans="1:11" ht="21.6" customHeight="1" x14ac:dyDescent="0.25">
      <c r="A39" s="111" t="str">
        <f>'C4-FinPerf RE'!A39</f>
        <v>Transfers and subsidies - capital (monetary allocations) (National / Provincial and District)</v>
      </c>
      <c r="B39" s="169"/>
      <c r="C39" s="749">
        <v>76150621.189999998</v>
      </c>
      <c r="D39" s="746">
        <v>89549850</v>
      </c>
      <c r="E39" s="734">
        <v>89549850</v>
      </c>
      <c r="F39" s="734">
        <v>0</v>
      </c>
      <c r="G39" s="734">
        <v>63718000</v>
      </c>
      <c r="H39" s="734">
        <v>78467000</v>
      </c>
      <c r="I39" s="44">
        <f t="shared" si="3"/>
        <v>-14749000</v>
      </c>
      <c r="J39" s="330">
        <f t="shared" si="4"/>
        <v>-0.18796436718620566</v>
      </c>
      <c r="K39" s="736">
        <v>89549850</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3"/>
        <v>0</v>
      </c>
      <c r="J40" s="330" t="str">
        <f t="shared" si="4"/>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3"/>
        <v>0</v>
      </c>
      <c r="J41" s="330" t="str">
        <f t="shared" si="4"/>
        <v/>
      </c>
      <c r="K41" s="736"/>
    </row>
    <row r="42" spans="1:11" ht="25.5" x14ac:dyDescent="0.25">
      <c r="A42" s="571" t="str">
        <f>'C4-FinPerf RE'!A42</f>
        <v>Surplus/(Deficit) after capital transfers &amp; contributions</v>
      </c>
      <c r="B42" s="309"/>
      <c r="C42" s="572">
        <f>C38+SUM(C39:C41)</f>
        <v>-76991251.259999931</v>
      </c>
      <c r="D42" s="573">
        <f t="shared" ref="D42:K42" si="7">D38+SUM(D39:D41)</f>
        <v>45279328.039999962</v>
      </c>
      <c r="E42" s="514">
        <f t="shared" si="7"/>
        <v>124667781.6500001</v>
      </c>
      <c r="F42" s="514">
        <f t="shared" si="7"/>
        <v>38428847.629999995</v>
      </c>
      <c r="G42" s="514">
        <f t="shared" si="7"/>
        <v>292427877.27000004</v>
      </c>
      <c r="H42" s="514">
        <f t="shared" si="7"/>
        <v>296732355.67999995</v>
      </c>
      <c r="I42" s="514">
        <f t="shared" si="3"/>
        <v>-4304478.409999907</v>
      </c>
      <c r="J42" s="515">
        <f t="shared" si="4"/>
        <v>-1.4506265756343447E-2</v>
      </c>
      <c r="K42" s="574">
        <f t="shared" si="7"/>
        <v>45279328.039999962</v>
      </c>
    </row>
    <row r="43" spans="1:11" ht="12.75" customHeight="1" x14ac:dyDescent="0.25">
      <c r="A43" s="111" t="str">
        <f>'C4-FinPerf RE'!A43</f>
        <v>Taxation</v>
      </c>
      <c r="B43" s="169"/>
      <c r="C43" s="749"/>
      <c r="D43" s="746"/>
      <c r="E43" s="734"/>
      <c r="F43" s="734"/>
      <c r="G43" s="734"/>
      <c r="H43" s="734"/>
      <c r="I43" s="44">
        <f t="shared" si="3"/>
        <v>0</v>
      </c>
      <c r="J43" s="330" t="str">
        <f t="shared" si="4"/>
        <v/>
      </c>
      <c r="K43" s="736"/>
    </row>
    <row r="44" spans="1:11" ht="12.75" customHeight="1" x14ac:dyDescent="0.25">
      <c r="A44" s="53" t="str">
        <f>'C4-FinPerf RE'!A44</f>
        <v>Surplus/(Deficit) after taxation</v>
      </c>
      <c r="B44" s="236"/>
      <c r="C44" s="112">
        <f t="shared" ref="C44:H44" si="8">C42-C43</f>
        <v>-76991251.259999931</v>
      </c>
      <c r="D44" s="56">
        <f t="shared" si="8"/>
        <v>45279328.039999962</v>
      </c>
      <c r="E44" s="55">
        <f t="shared" si="8"/>
        <v>124667781.6500001</v>
      </c>
      <c r="F44" s="55">
        <f t="shared" si="8"/>
        <v>38428847.629999995</v>
      </c>
      <c r="G44" s="55">
        <f t="shared" si="8"/>
        <v>292427877.27000004</v>
      </c>
      <c r="H44" s="55">
        <f t="shared" si="8"/>
        <v>296732355.67999995</v>
      </c>
      <c r="I44" s="55">
        <f t="shared" si="3"/>
        <v>-4304478.409999907</v>
      </c>
      <c r="J44" s="332">
        <f t="shared" si="4"/>
        <v>-1.4506265756343447E-2</v>
      </c>
      <c r="K44" s="235">
        <f>K42-K43</f>
        <v>45279328.039999962</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634</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3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"&amp;S71Q&amp; " - "&amp;Head57</f>
        <v>LIM333 Greater Tzaneen - Supporting Table SC11 Monthly Budget Statement - summary of municipal entities - M06 December</v>
      </c>
      <c r="B1" s="1035"/>
      <c r="C1" s="1035"/>
      <c r="D1" s="1035"/>
      <c r="E1" s="1035"/>
      <c r="F1" s="1035"/>
      <c r="G1" s="1035"/>
      <c r="H1" s="1035"/>
      <c r="I1" s="1035"/>
      <c r="J1" s="1035"/>
      <c r="K1" s="1035"/>
    </row>
    <row r="2" spans="1:11" x14ac:dyDescent="0.25">
      <c r="A2" s="1024" t="str">
        <f>desc</f>
        <v>Description</v>
      </c>
      <c r="B2" s="1017" t="str">
        <f>head27</f>
        <v>Ref</v>
      </c>
      <c r="C2" s="158" t="str">
        <f>Head1</f>
        <v>2018/19</v>
      </c>
      <c r="D2" s="1019" t="str">
        <f>Head2</f>
        <v>Budget Year 2019/20</v>
      </c>
      <c r="E2" s="1020"/>
      <c r="F2" s="1020"/>
      <c r="G2" s="1020"/>
      <c r="H2" s="1020"/>
      <c r="I2" s="1020"/>
      <c r="J2" s="1020"/>
      <c r="K2" s="1021"/>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676</v>
      </c>
      <c r="B4" s="248"/>
      <c r="C4" s="292"/>
      <c r="D4" s="298"/>
      <c r="E4" s="294"/>
      <c r="F4" s="295"/>
      <c r="G4" s="295"/>
      <c r="H4" s="295"/>
      <c r="I4" s="295"/>
      <c r="J4" s="296" t="s">
        <v>583</v>
      </c>
      <c r="K4" s="297"/>
    </row>
    <row r="5" spans="1:11" ht="12.75" customHeight="1" x14ac:dyDescent="0.25">
      <c r="A5" s="136" t="s">
        <v>561</v>
      </c>
      <c r="B5" s="169"/>
      <c r="C5" s="134"/>
      <c r="D5" s="258"/>
      <c r="E5" s="44"/>
      <c r="F5" s="44"/>
      <c r="G5" s="44"/>
      <c r="H5" s="44"/>
      <c r="I5" s="44"/>
      <c r="J5" s="44"/>
      <c r="K5" s="144"/>
    </row>
    <row r="6" spans="1:11" ht="12.75" customHeight="1" x14ac:dyDescent="0.25">
      <c r="A6" s="792" t="s">
        <v>79</v>
      </c>
      <c r="B6" s="169"/>
      <c r="C6" s="749"/>
      <c r="D6" s="754"/>
      <c r="E6" s="734"/>
      <c r="F6" s="734"/>
      <c r="G6" s="734"/>
      <c r="H6" s="734"/>
      <c r="I6" s="44">
        <f t="shared" ref="I6:I41" si="0">G6-H6</f>
        <v>0</v>
      </c>
      <c r="J6" s="330" t="str">
        <f>IF(I6=0,"",I6/H6)</f>
        <v/>
      </c>
      <c r="K6" s="736"/>
    </row>
    <row r="7" spans="1:11" ht="12.75" customHeight="1" x14ac:dyDescent="0.25">
      <c r="A7" s="775"/>
      <c r="B7" s="169"/>
      <c r="C7" s="749"/>
      <c r="D7" s="754"/>
      <c r="E7" s="734"/>
      <c r="F7" s="734"/>
      <c r="G7" s="734"/>
      <c r="H7" s="734"/>
      <c r="I7" s="44">
        <f t="shared" si="0"/>
        <v>0</v>
      </c>
      <c r="J7" s="330" t="str">
        <f t="shared" ref="J7:J16" si="1">IF(I7=0,"",I7/H7)</f>
        <v/>
      </c>
      <c r="K7" s="736"/>
    </row>
    <row r="8" spans="1:11" ht="12.75" customHeight="1" x14ac:dyDescent="0.25">
      <c r="A8" s="775"/>
      <c r="B8" s="169"/>
      <c r="C8" s="749"/>
      <c r="D8" s="754"/>
      <c r="E8" s="734"/>
      <c r="F8" s="734"/>
      <c r="G8" s="734"/>
      <c r="H8" s="734"/>
      <c r="I8" s="44">
        <f t="shared" si="0"/>
        <v>0</v>
      </c>
      <c r="J8" s="330" t="str">
        <f t="shared" si="1"/>
        <v/>
      </c>
      <c r="K8" s="736"/>
    </row>
    <row r="9" spans="1:11" ht="12.75" customHeight="1" x14ac:dyDescent="0.25">
      <c r="A9" s="775"/>
      <c r="B9" s="169"/>
      <c r="C9" s="749"/>
      <c r="D9" s="754"/>
      <c r="E9" s="734"/>
      <c r="F9" s="734"/>
      <c r="G9" s="734"/>
      <c r="H9" s="734"/>
      <c r="I9" s="44">
        <f t="shared" si="0"/>
        <v>0</v>
      </c>
      <c r="J9" s="330" t="str">
        <f t="shared" si="1"/>
        <v/>
      </c>
      <c r="K9" s="736"/>
    </row>
    <row r="10" spans="1:11" ht="12.75" customHeight="1" x14ac:dyDescent="0.25">
      <c r="A10" s="775"/>
      <c r="B10" s="169"/>
      <c r="C10" s="749"/>
      <c r="D10" s="754"/>
      <c r="E10" s="734"/>
      <c r="F10" s="734"/>
      <c r="G10" s="734"/>
      <c r="H10" s="734"/>
      <c r="I10" s="44">
        <f t="shared" si="0"/>
        <v>0</v>
      </c>
      <c r="J10" s="330" t="str">
        <f t="shared" si="1"/>
        <v/>
      </c>
      <c r="K10" s="736"/>
    </row>
    <row r="11" spans="1:11" ht="12.75" customHeight="1" x14ac:dyDescent="0.25">
      <c r="A11" s="775"/>
      <c r="B11" s="169"/>
      <c r="C11" s="749"/>
      <c r="D11" s="754"/>
      <c r="E11" s="734"/>
      <c r="F11" s="734"/>
      <c r="G11" s="734"/>
      <c r="H11" s="734"/>
      <c r="I11" s="44">
        <f t="shared" si="0"/>
        <v>0</v>
      </c>
      <c r="J11" s="330" t="str">
        <f t="shared" si="1"/>
        <v/>
      </c>
      <c r="K11" s="736"/>
    </row>
    <row r="12" spans="1:11" ht="12.75" customHeight="1" x14ac:dyDescent="0.25">
      <c r="A12" s="775"/>
      <c r="B12" s="169"/>
      <c r="C12" s="749"/>
      <c r="D12" s="754"/>
      <c r="E12" s="734"/>
      <c r="F12" s="734"/>
      <c r="G12" s="734"/>
      <c r="H12" s="734"/>
      <c r="I12" s="44">
        <f t="shared" si="0"/>
        <v>0</v>
      </c>
      <c r="J12" s="330" t="str">
        <f t="shared" si="1"/>
        <v/>
      </c>
      <c r="K12" s="736"/>
    </row>
    <row r="13" spans="1:11" ht="12.75" customHeight="1" x14ac:dyDescent="0.25">
      <c r="A13" s="775"/>
      <c r="B13" s="169"/>
      <c r="C13" s="749"/>
      <c r="D13" s="754"/>
      <c r="E13" s="734"/>
      <c r="F13" s="734"/>
      <c r="G13" s="734"/>
      <c r="H13" s="734"/>
      <c r="I13" s="44">
        <f t="shared" si="0"/>
        <v>0</v>
      </c>
      <c r="J13" s="330" t="str">
        <f t="shared" si="1"/>
        <v/>
      </c>
      <c r="K13" s="736"/>
    </row>
    <row r="14" spans="1:11" ht="12.75" customHeight="1" x14ac:dyDescent="0.25">
      <c r="A14" s="775"/>
      <c r="B14" s="169"/>
      <c r="C14" s="749"/>
      <c r="D14" s="754"/>
      <c r="E14" s="734"/>
      <c r="F14" s="734"/>
      <c r="G14" s="734"/>
      <c r="H14" s="734"/>
      <c r="I14" s="44">
        <f t="shared" si="0"/>
        <v>0</v>
      </c>
      <c r="J14" s="330" t="str">
        <f t="shared" si="1"/>
        <v/>
      </c>
      <c r="K14" s="736"/>
    </row>
    <row r="15" spans="1:11" ht="12.75" customHeight="1" x14ac:dyDescent="0.25">
      <c r="A15" s="775"/>
      <c r="B15" s="169"/>
      <c r="C15" s="749"/>
      <c r="D15" s="754"/>
      <c r="E15" s="734"/>
      <c r="F15" s="734"/>
      <c r="G15" s="734"/>
      <c r="H15" s="734"/>
      <c r="I15" s="44">
        <f t="shared" si="0"/>
        <v>0</v>
      </c>
      <c r="J15" s="330" t="str">
        <f t="shared" si="1"/>
        <v/>
      </c>
      <c r="K15" s="736"/>
    </row>
    <row r="16" spans="1:11" ht="12.75" customHeight="1" x14ac:dyDescent="0.25">
      <c r="A16" s="92" t="s">
        <v>549</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560</v>
      </c>
      <c r="B18" s="175"/>
      <c r="C18" s="134"/>
      <c r="D18" s="258"/>
      <c r="E18" s="44"/>
      <c r="F18" s="44"/>
      <c r="G18" s="44"/>
      <c r="H18" s="44"/>
      <c r="I18" s="44"/>
      <c r="J18" s="330"/>
      <c r="K18" s="144"/>
    </row>
    <row r="19" spans="1:11" ht="12.75" customHeight="1" x14ac:dyDescent="0.25">
      <c r="A19" s="792"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5" t="str">
        <f>IF(A7="","",A7)</f>
        <v/>
      </c>
      <c r="B20" s="171"/>
      <c r="C20" s="749"/>
      <c r="D20" s="754"/>
      <c r="E20" s="734"/>
      <c r="F20" s="734"/>
      <c r="G20" s="734"/>
      <c r="H20" s="734"/>
      <c r="I20" s="44">
        <f t="shared" si="0"/>
        <v>0</v>
      </c>
      <c r="J20" s="330" t="str">
        <f t="shared" si="3"/>
        <v/>
      </c>
      <c r="K20" s="736"/>
    </row>
    <row r="21" spans="1:11" ht="12.75" customHeight="1" x14ac:dyDescent="0.25">
      <c r="A21" s="775" t="str">
        <f t="shared" ref="A21:A28" si="4">IF(A8="","",A8)</f>
        <v/>
      </c>
      <c r="B21" s="171"/>
      <c r="C21" s="749"/>
      <c r="D21" s="754"/>
      <c r="E21" s="734"/>
      <c r="F21" s="734"/>
      <c r="G21" s="734"/>
      <c r="H21" s="734"/>
      <c r="I21" s="44">
        <f t="shared" si="0"/>
        <v>0</v>
      </c>
      <c r="J21" s="330" t="str">
        <f t="shared" si="3"/>
        <v/>
      </c>
      <c r="K21" s="736"/>
    </row>
    <row r="22" spans="1:11" ht="12.75" customHeight="1" x14ac:dyDescent="0.25">
      <c r="A22" s="775" t="str">
        <f t="shared" si="4"/>
        <v/>
      </c>
      <c r="B22" s="171"/>
      <c r="C22" s="749"/>
      <c r="D22" s="754"/>
      <c r="E22" s="734"/>
      <c r="F22" s="734"/>
      <c r="G22" s="734"/>
      <c r="H22" s="734"/>
      <c r="I22" s="44">
        <f t="shared" si="0"/>
        <v>0</v>
      </c>
      <c r="J22" s="330" t="str">
        <f t="shared" si="3"/>
        <v/>
      </c>
      <c r="K22" s="736"/>
    </row>
    <row r="23" spans="1:11" ht="12.75" customHeight="1" x14ac:dyDescent="0.25">
      <c r="A23" s="775" t="str">
        <f t="shared" si="4"/>
        <v/>
      </c>
      <c r="B23" s="171"/>
      <c r="C23" s="749"/>
      <c r="D23" s="754"/>
      <c r="E23" s="734"/>
      <c r="F23" s="734"/>
      <c r="G23" s="734"/>
      <c r="H23" s="734"/>
      <c r="I23" s="44">
        <f t="shared" si="0"/>
        <v>0</v>
      </c>
      <c r="J23" s="330" t="str">
        <f t="shared" si="3"/>
        <v/>
      </c>
      <c r="K23" s="736"/>
    </row>
    <row r="24" spans="1:11" ht="12.75" customHeight="1" x14ac:dyDescent="0.25">
      <c r="A24" s="775" t="str">
        <f t="shared" si="4"/>
        <v/>
      </c>
      <c r="B24" s="171"/>
      <c r="C24" s="749"/>
      <c r="D24" s="754"/>
      <c r="E24" s="734"/>
      <c r="F24" s="734"/>
      <c r="G24" s="734"/>
      <c r="H24" s="734"/>
      <c r="I24" s="44">
        <f t="shared" si="0"/>
        <v>0</v>
      </c>
      <c r="J24" s="330" t="str">
        <f t="shared" si="3"/>
        <v/>
      </c>
      <c r="K24" s="736"/>
    </row>
    <row r="25" spans="1:11" ht="12.75" customHeight="1" x14ac:dyDescent="0.25">
      <c r="A25" s="775" t="str">
        <f t="shared" si="4"/>
        <v/>
      </c>
      <c r="B25" s="171"/>
      <c r="C25" s="749"/>
      <c r="D25" s="754"/>
      <c r="E25" s="734"/>
      <c r="F25" s="734"/>
      <c r="G25" s="734"/>
      <c r="H25" s="734"/>
      <c r="I25" s="44">
        <f t="shared" si="0"/>
        <v>0</v>
      </c>
      <c r="J25" s="330" t="str">
        <f t="shared" si="3"/>
        <v/>
      </c>
      <c r="K25" s="736"/>
    </row>
    <row r="26" spans="1:11" ht="12.75" customHeight="1" x14ac:dyDescent="0.25">
      <c r="A26" s="775" t="str">
        <f t="shared" si="4"/>
        <v/>
      </c>
      <c r="B26" s="171"/>
      <c r="C26" s="749"/>
      <c r="D26" s="754"/>
      <c r="E26" s="734"/>
      <c r="F26" s="734"/>
      <c r="G26" s="734"/>
      <c r="H26" s="734"/>
      <c r="I26" s="44">
        <f t="shared" si="0"/>
        <v>0</v>
      </c>
      <c r="J26" s="330" t="str">
        <f t="shared" si="3"/>
        <v/>
      </c>
      <c r="K26" s="736"/>
    </row>
    <row r="27" spans="1:11" ht="12.75" customHeight="1" x14ac:dyDescent="0.25">
      <c r="A27" s="775" t="str">
        <f t="shared" si="4"/>
        <v/>
      </c>
      <c r="B27" s="171"/>
      <c r="C27" s="749"/>
      <c r="D27" s="754"/>
      <c r="E27" s="734"/>
      <c r="F27" s="734"/>
      <c r="G27" s="734"/>
      <c r="H27" s="734"/>
      <c r="I27" s="44">
        <f t="shared" si="0"/>
        <v>0</v>
      </c>
      <c r="J27" s="330" t="str">
        <f t="shared" si="3"/>
        <v/>
      </c>
      <c r="K27" s="736"/>
    </row>
    <row r="28" spans="1:11" ht="12.75" customHeight="1" x14ac:dyDescent="0.25">
      <c r="A28" s="775" t="str">
        <f t="shared" si="4"/>
        <v/>
      </c>
      <c r="B28" s="171"/>
      <c r="C28" s="749"/>
      <c r="D28" s="754"/>
      <c r="E28" s="734"/>
      <c r="F28" s="734"/>
      <c r="G28" s="734"/>
      <c r="H28" s="734"/>
      <c r="I28" s="44">
        <f t="shared" si="0"/>
        <v>0</v>
      </c>
      <c r="J28" s="330" t="str">
        <f t="shared" si="3"/>
        <v/>
      </c>
      <c r="K28" s="736"/>
    </row>
    <row r="29" spans="1:11" ht="12.75" customHeight="1" x14ac:dyDescent="0.25">
      <c r="A29" s="92" t="s">
        <v>919</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830</v>
      </c>
      <c r="B32" s="171"/>
      <c r="C32" s="134"/>
      <c r="D32" s="258"/>
      <c r="E32" s="44"/>
      <c r="F32" s="44"/>
      <c r="G32" s="44"/>
      <c r="H32" s="44"/>
      <c r="I32" s="44"/>
      <c r="J32" s="330"/>
      <c r="K32" s="144"/>
    </row>
    <row r="33" spans="1:11" ht="12.75" customHeight="1" x14ac:dyDescent="0.25">
      <c r="A33" s="792" t="str">
        <f>$A$6</f>
        <v>Insert name of municipal entity</v>
      </c>
      <c r="B33" s="171"/>
      <c r="C33" s="749"/>
      <c r="D33" s="754"/>
      <c r="E33" s="734"/>
      <c r="F33" s="734"/>
      <c r="G33" s="734"/>
      <c r="H33" s="734"/>
      <c r="I33" s="44">
        <f t="shared" si="0"/>
        <v>0</v>
      </c>
      <c r="J33" s="330" t="str">
        <f t="shared" si="3"/>
        <v/>
      </c>
      <c r="K33" s="736"/>
    </row>
    <row r="34" spans="1:11" ht="12.75" customHeight="1" x14ac:dyDescent="0.25">
      <c r="A34" s="775" t="str">
        <f>IF(A7="","",A7)</f>
        <v/>
      </c>
      <c r="B34" s="171"/>
      <c r="C34" s="749"/>
      <c r="D34" s="754"/>
      <c r="E34" s="734"/>
      <c r="F34" s="734"/>
      <c r="G34" s="734"/>
      <c r="H34" s="734"/>
      <c r="I34" s="44">
        <f t="shared" si="0"/>
        <v>0</v>
      </c>
      <c r="J34" s="330" t="str">
        <f t="shared" si="3"/>
        <v/>
      </c>
      <c r="K34" s="736"/>
    </row>
    <row r="35" spans="1:11" ht="12.75" customHeight="1" x14ac:dyDescent="0.25">
      <c r="A35" s="775" t="str">
        <f t="shared" ref="A35:A41" si="7">IF(A8="","",A8)</f>
        <v/>
      </c>
      <c r="B35" s="171"/>
      <c r="C35" s="749"/>
      <c r="D35" s="754"/>
      <c r="E35" s="734"/>
      <c r="F35" s="734"/>
      <c r="G35" s="734"/>
      <c r="H35" s="734"/>
      <c r="I35" s="44">
        <f t="shared" si="0"/>
        <v>0</v>
      </c>
      <c r="J35" s="330" t="str">
        <f t="shared" si="3"/>
        <v/>
      </c>
      <c r="K35" s="736"/>
    </row>
    <row r="36" spans="1:11" ht="12.75" customHeight="1" x14ac:dyDescent="0.25">
      <c r="A36" s="775" t="str">
        <f t="shared" si="7"/>
        <v/>
      </c>
      <c r="B36" s="171"/>
      <c r="C36" s="749"/>
      <c r="D36" s="754"/>
      <c r="E36" s="734"/>
      <c r="F36" s="734"/>
      <c r="G36" s="734"/>
      <c r="H36" s="734"/>
      <c r="I36" s="44">
        <f t="shared" si="0"/>
        <v>0</v>
      </c>
      <c r="J36" s="330" t="str">
        <f t="shared" si="3"/>
        <v/>
      </c>
      <c r="K36" s="736"/>
    </row>
    <row r="37" spans="1:11" ht="12.75" customHeight="1" x14ac:dyDescent="0.25">
      <c r="A37" s="775" t="str">
        <f t="shared" si="7"/>
        <v/>
      </c>
      <c r="B37" s="171"/>
      <c r="C37" s="749"/>
      <c r="D37" s="754"/>
      <c r="E37" s="734"/>
      <c r="F37" s="734"/>
      <c r="G37" s="734"/>
      <c r="H37" s="734"/>
      <c r="I37" s="44">
        <f t="shared" si="0"/>
        <v>0</v>
      </c>
      <c r="J37" s="330" t="str">
        <f t="shared" si="3"/>
        <v/>
      </c>
      <c r="K37" s="736"/>
    </row>
    <row r="38" spans="1:11" ht="12.75" customHeight="1" x14ac:dyDescent="0.25">
      <c r="A38" s="775" t="str">
        <f t="shared" si="7"/>
        <v/>
      </c>
      <c r="B38" s="171"/>
      <c r="C38" s="749"/>
      <c r="D38" s="754"/>
      <c r="E38" s="734"/>
      <c r="F38" s="734"/>
      <c r="G38" s="734"/>
      <c r="H38" s="734"/>
      <c r="I38" s="44">
        <f t="shared" si="0"/>
        <v>0</v>
      </c>
      <c r="J38" s="330" t="str">
        <f t="shared" si="3"/>
        <v/>
      </c>
      <c r="K38" s="736"/>
    </row>
    <row r="39" spans="1:11" ht="12.75" customHeight="1" x14ac:dyDescent="0.25">
      <c r="A39" s="775" t="str">
        <f t="shared" si="7"/>
        <v/>
      </c>
      <c r="B39" s="171"/>
      <c r="C39" s="749"/>
      <c r="D39" s="754"/>
      <c r="E39" s="734"/>
      <c r="F39" s="734"/>
      <c r="G39" s="734"/>
      <c r="H39" s="734"/>
      <c r="I39" s="44">
        <f t="shared" si="0"/>
        <v>0</v>
      </c>
      <c r="J39" s="330" t="str">
        <f t="shared" si="3"/>
        <v/>
      </c>
      <c r="K39" s="736"/>
    </row>
    <row r="40" spans="1:11" ht="12.75" customHeight="1" x14ac:dyDescent="0.25">
      <c r="A40" s="775" t="str">
        <f t="shared" si="7"/>
        <v/>
      </c>
      <c r="B40" s="171"/>
      <c r="C40" s="749"/>
      <c r="D40" s="754"/>
      <c r="E40" s="734"/>
      <c r="F40" s="734"/>
      <c r="G40" s="734"/>
      <c r="H40" s="734"/>
      <c r="I40" s="44">
        <f t="shared" si="0"/>
        <v>0</v>
      </c>
      <c r="J40" s="330" t="str">
        <f t="shared" si="3"/>
        <v/>
      </c>
      <c r="K40" s="736"/>
    </row>
    <row r="41" spans="1:11" ht="12.75" customHeight="1" x14ac:dyDescent="0.25">
      <c r="A41" s="775" t="str">
        <f t="shared" si="7"/>
        <v/>
      </c>
      <c r="B41" s="171"/>
      <c r="C41" s="749"/>
      <c r="D41" s="754"/>
      <c r="E41" s="734"/>
      <c r="F41" s="734"/>
      <c r="G41" s="734"/>
      <c r="H41" s="734"/>
      <c r="I41" s="44">
        <f t="shared" si="0"/>
        <v>0</v>
      </c>
      <c r="J41" s="330" t="str">
        <f t="shared" si="3"/>
        <v/>
      </c>
      <c r="K41" s="736"/>
    </row>
    <row r="42" spans="1:11" ht="5.0999999999999996" customHeight="1" x14ac:dyDescent="0.25">
      <c r="A42" s="775"/>
      <c r="B42" s="171"/>
      <c r="C42" s="749"/>
      <c r="D42" s="754"/>
      <c r="E42" s="734"/>
      <c r="F42" s="734"/>
      <c r="G42" s="734"/>
      <c r="H42" s="734"/>
      <c r="I42" s="44"/>
      <c r="J42" s="330" t="str">
        <f t="shared" si="3"/>
        <v/>
      </c>
      <c r="K42" s="736"/>
    </row>
    <row r="43" spans="1:11" ht="12.75" customHeight="1" x14ac:dyDescent="0.25">
      <c r="A43" s="113" t="s">
        <v>772</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984</v>
      </c>
      <c r="B45" s="58"/>
      <c r="C45" s="62"/>
      <c r="D45" s="62"/>
      <c r="E45" s="62"/>
      <c r="F45" s="62"/>
      <c r="G45" s="62"/>
      <c r="H45" s="62"/>
      <c r="I45" s="62"/>
      <c r="J45" s="62"/>
      <c r="K45" s="62"/>
    </row>
    <row r="46" spans="1:11" ht="12.75" customHeight="1" x14ac:dyDescent="0.25">
      <c r="A46" s="80" t="s">
        <v>985</v>
      </c>
      <c r="B46" s="58"/>
      <c r="C46" s="62"/>
      <c r="D46" s="62"/>
      <c r="E46" s="62"/>
      <c r="F46" s="62"/>
      <c r="G46" s="62"/>
      <c r="H46" s="62"/>
      <c r="I46" s="62"/>
      <c r="J46" s="62"/>
      <c r="K46" s="62"/>
    </row>
    <row r="47" spans="1:11" ht="12.75" customHeight="1" x14ac:dyDescent="0.25">
      <c r="A47" s="60" t="s">
        <v>628</v>
      </c>
      <c r="B47" s="58"/>
      <c r="C47" s="62"/>
      <c r="D47" s="62"/>
      <c r="E47" s="62"/>
      <c r="F47" s="62"/>
      <c r="G47" s="62"/>
      <c r="H47" s="62"/>
      <c r="I47" s="62"/>
      <c r="J47" s="62"/>
      <c r="K47" s="62"/>
    </row>
    <row r="48" spans="1:11" ht="12.75" customHeight="1" x14ac:dyDescent="0.25">
      <c r="A48" s="80" t="s">
        <v>650</v>
      </c>
      <c r="B48" s="58"/>
      <c r="C48" s="62"/>
      <c r="D48" s="62"/>
      <c r="E48" s="62"/>
      <c r="F48" s="62"/>
      <c r="G48" s="62"/>
      <c r="H48" s="62"/>
      <c r="I48" s="62"/>
      <c r="J48" s="62"/>
      <c r="K48" s="62"/>
    </row>
    <row r="49" spans="1:11" ht="12.75" customHeight="1" x14ac:dyDescent="0.25">
      <c r="A49" s="322" t="s">
        <v>580</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5"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1" sqref="E11"/>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5" t="str">
        <f>muni&amp; " - "&amp;S71R&amp; " - "&amp;Head57</f>
        <v>LIM333 Greater Tzaneen - Supporting Table SC12 Consolidated Monthly Budget Statement - capital expenditure trend  - M06 December</v>
      </c>
      <c r="B1" s="1035"/>
      <c r="C1" s="1035"/>
      <c r="D1" s="1035"/>
      <c r="E1" s="1035"/>
      <c r="F1" s="1035"/>
      <c r="G1" s="1035"/>
      <c r="H1" s="1035"/>
      <c r="I1" s="1035"/>
      <c r="J1" s="1035"/>
    </row>
    <row r="2" spans="1:10" x14ac:dyDescent="0.25">
      <c r="A2" s="1024" t="s">
        <v>900</v>
      </c>
      <c r="B2" s="139" t="str">
        <f>Head1</f>
        <v>2018/19</v>
      </c>
      <c r="C2" s="1019" t="str">
        <f>Head2</f>
        <v>Budget Year 2019/20</v>
      </c>
      <c r="D2" s="1020"/>
      <c r="E2" s="1020"/>
      <c r="F2" s="1020"/>
      <c r="G2" s="1020"/>
      <c r="H2" s="1020"/>
      <c r="I2" s="1020"/>
      <c r="J2" s="1021"/>
    </row>
    <row r="3" spans="1:10" ht="38.25" x14ac:dyDescent="0.25">
      <c r="A3" s="1025"/>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676</v>
      </c>
      <c r="B4" s="292"/>
      <c r="C4" s="298"/>
      <c r="D4" s="294"/>
      <c r="E4" s="295"/>
      <c r="F4" s="295"/>
      <c r="G4" s="295"/>
      <c r="H4" s="295"/>
      <c r="I4" s="296" t="s">
        <v>583</v>
      </c>
      <c r="J4" s="297"/>
    </row>
    <row r="5" spans="1:10" ht="12.75" customHeight="1" x14ac:dyDescent="0.25">
      <c r="A5" s="35" t="s">
        <v>480</v>
      </c>
      <c r="B5" s="134"/>
      <c r="C5" s="258"/>
      <c r="D5" s="44"/>
      <c r="E5" s="44"/>
      <c r="F5" s="44"/>
      <c r="G5" s="44"/>
      <c r="H5" s="44"/>
      <c r="I5" s="124"/>
      <c r="J5" s="144"/>
    </row>
    <row r="6" spans="1:10" ht="12.75" customHeight="1" x14ac:dyDescent="0.25">
      <c r="A6" s="39" t="s">
        <v>793</v>
      </c>
      <c r="B6" s="749">
        <v>19231011.369999997</v>
      </c>
      <c r="C6" s="754">
        <v>3597000</v>
      </c>
      <c r="D6" s="734">
        <v>3597000</v>
      </c>
      <c r="E6" s="734">
        <v>5554740.2300000004</v>
      </c>
      <c r="F6" s="408">
        <f>IF(E6&gt;0,E6,"")</f>
        <v>5554740.2300000004</v>
      </c>
      <c r="G6" s="408">
        <f>IF(D6&gt;0,D6,C6)</f>
        <v>3597000</v>
      </c>
      <c r="H6" s="44">
        <f t="shared" ref="H6:H16" si="0">IF(F6="",0,G6-F6)</f>
        <v>-1957740.2300000004</v>
      </c>
      <c r="I6" s="124">
        <f t="shared" ref="I6:I16" si="1">IF(F6="","",IF(H6=0,"",H6/G6))</f>
        <v>-0.54427028912983055</v>
      </c>
      <c r="J6" s="675">
        <f t="shared" ref="J6:J16" si="2">IF(F6="","",F6/$C$18)</f>
        <v>3.8984463245511844E-2</v>
      </c>
    </row>
    <row r="7" spans="1:10" ht="12.75" customHeight="1" x14ac:dyDescent="0.25">
      <c r="A7" s="39" t="s">
        <v>920</v>
      </c>
      <c r="B7" s="749">
        <v>7413792.5199999996</v>
      </c>
      <c r="C7" s="754">
        <v>9540000</v>
      </c>
      <c r="D7" s="734">
        <v>9540000</v>
      </c>
      <c r="E7" s="734">
        <v>24246351.16</v>
      </c>
      <c r="F7" s="408">
        <f>IF(E7&gt;0,E7+F6,"")</f>
        <v>29801091.390000001</v>
      </c>
      <c r="G7" s="408">
        <f>IF(D7&gt;0,D7+D6,C7+C6)</f>
        <v>13137000</v>
      </c>
      <c r="H7" s="44">
        <f t="shared" si="0"/>
        <v>-16664091.390000001</v>
      </c>
      <c r="I7" s="124">
        <f t="shared" si="1"/>
        <v>-1.2684853002968715</v>
      </c>
      <c r="J7" s="675">
        <f t="shared" si="2"/>
        <v>0.20915101406453968</v>
      </c>
    </row>
    <row r="8" spans="1:10" ht="12.75" customHeight="1" x14ac:dyDescent="0.25">
      <c r="A8" s="39" t="s">
        <v>550</v>
      </c>
      <c r="B8" s="749">
        <v>5606695.8200000003</v>
      </c>
      <c r="C8" s="754">
        <v>7545000</v>
      </c>
      <c r="D8" s="734">
        <v>7545000</v>
      </c>
      <c r="E8" s="734">
        <v>4790238.71</v>
      </c>
      <c r="F8" s="408">
        <f t="shared" ref="F8:F17" si="3">IF(E8&gt;0,E8+F7,"")</f>
        <v>34591330.100000001</v>
      </c>
      <c r="G8" s="408">
        <f>IF(D8&gt;0,D8+G7,C8+G7)</f>
        <v>20682000</v>
      </c>
      <c r="H8" s="44">
        <f t="shared" si="0"/>
        <v>-13909330.100000001</v>
      </c>
      <c r="I8" s="124">
        <f t="shared" si="1"/>
        <v>-0.67253312542307331</v>
      </c>
      <c r="J8" s="675">
        <f t="shared" si="2"/>
        <v>0.24277002723074548</v>
      </c>
    </row>
    <row r="9" spans="1:10" ht="12.75" customHeight="1" x14ac:dyDescent="0.25">
      <c r="A9" s="39" t="s">
        <v>921</v>
      </c>
      <c r="B9" s="749">
        <v>5872546.5199999996</v>
      </c>
      <c r="C9" s="754">
        <v>10583000</v>
      </c>
      <c r="D9" s="734">
        <v>10583000</v>
      </c>
      <c r="E9" s="734">
        <v>4804471.47</v>
      </c>
      <c r="F9" s="408">
        <f t="shared" si="3"/>
        <v>39395801.57</v>
      </c>
      <c r="G9" s="408">
        <f t="shared" ref="G9:G17" si="4">IF(D9&gt;0,D9+G8,C9+G8)</f>
        <v>31265000</v>
      </c>
      <c r="H9" s="44">
        <f t="shared" si="0"/>
        <v>-8130801.5700000003</v>
      </c>
      <c r="I9" s="124">
        <f t="shared" si="1"/>
        <v>-0.26006082104589801</v>
      </c>
      <c r="J9" s="675">
        <f t="shared" si="2"/>
        <v>0.27648892922813467</v>
      </c>
    </row>
    <row r="10" spans="1:10" ht="12.75" customHeight="1" x14ac:dyDescent="0.25">
      <c r="A10" s="39" t="s">
        <v>922</v>
      </c>
      <c r="B10" s="749">
        <v>4185356.82</v>
      </c>
      <c r="C10" s="754">
        <v>14220000</v>
      </c>
      <c r="D10" s="734">
        <v>14220000</v>
      </c>
      <c r="E10" s="734">
        <v>9915031.4600000009</v>
      </c>
      <c r="F10" s="408">
        <f t="shared" si="3"/>
        <v>49310833.030000001</v>
      </c>
      <c r="G10" s="408">
        <f t="shared" si="4"/>
        <v>45485000</v>
      </c>
      <c r="H10" s="44">
        <f t="shared" si="0"/>
        <v>-3825833.0300000012</v>
      </c>
      <c r="I10" s="124">
        <f t="shared" si="1"/>
        <v>-8.4111971639001901E-2</v>
      </c>
      <c r="J10" s="675">
        <f t="shared" si="2"/>
        <v>0.34607493388824168</v>
      </c>
    </row>
    <row r="11" spans="1:10" ht="12.75" customHeight="1" x14ac:dyDescent="0.25">
      <c r="A11" s="39" t="s">
        <v>923</v>
      </c>
      <c r="B11" s="749">
        <v>7353836.1899999995</v>
      </c>
      <c r="C11" s="754">
        <v>19396000</v>
      </c>
      <c r="D11" s="734">
        <v>19396000</v>
      </c>
      <c r="E11" s="734">
        <v>25314667.419999998</v>
      </c>
      <c r="F11" s="408">
        <f t="shared" si="3"/>
        <v>74625500.450000003</v>
      </c>
      <c r="G11" s="408">
        <f t="shared" si="4"/>
        <v>64881000</v>
      </c>
      <c r="H11" s="44">
        <f t="shared" si="0"/>
        <v>-9744500.450000003</v>
      </c>
      <c r="I11" s="124">
        <f t="shared" si="1"/>
        <v>-0.15019035541992268</v>
      </c>
      <c r="J11" s="675">
        <f t="shared" si="2"/>
        <v>0.5237391775332314</v>
      </c>
    </row>
    <row r="12" spans="1:10" ht="12.75" customHeight="1" x14ac:dyDescent="0.25">
      <c r="A12" s="39" t="s">
        <v>924</v>
      </c>
      <c r="B12" s="749">
        <v>2583015.5900000003</v>
      </c>
      <c r="C12" s="754">
        <v>13356000</v>
      </c>
      <c r="D12" s="734">
        <v>13356000</v>
      </c>
      <c r="E12" s="734"/>
      <c r="F12" s="408" t="str">
        <f t="shared" si="3"/>
        <v/>
      </c>
      <c r="G12" s="408">
        <f t="shared" si="4"/>
        <v>78237000</v>
      </c>
      <c r="H12" s="44">
        <f t="shared" si="0"/>
        <v>0</v>
      </c>
      <c r="I12" s="124" t="str">
        <f t="shared" si="1"/>
        <v/>
      </c>
      <c r="J12" s="675" t="str">
        <f t="shared" si="2"/>
        <v/>
      </c>
    </row>
    <row r="13" spans="1:10" ht="12.75" customHeight="1" x14ac:dyDescent="0.25">
      <c r="A13" s="39" t="s">
        <v>925</v>
      </c>
      <c r="B13" s="749">
        <v>10959701.699999999</v>
      </c>
      <c r="C13" s="754">
        <v>19309000</v>
      </c>
      <c r="D13" s="734">
        <v>19309000</v>
      </c>
      <c r="E13" s="734"/>
      <c r="F13" s="408" t="str">
        <f t="shared" si="3"/>
        <v/>
      </c>
      <c r="G13" s="408">
        <f t="shared" si="4"/>
        <v>97546000</v>
      </c>
      <c r="H13" s="44">
        <f t="shared" si="0"/>
        <v>0</v>
      </c>
      <c r="I13" s="124" t="str">
        <f t="shared" si="1"/>
        <v/>
      </c>
      <c r="J13" s="675" t="str">
        <f t="shared" si="2"/>
        <v/>
      </c>
    </row>
    <row r="14" spans="1:10" ht="12.75" customHeight="1" x14ac:dyDescent="0.25">
      <c r="A14" s="39" t="s">
        <v>926</v>
      </c>
      <c r="B14" s="749">
        <v>5548374.54</v>
      </c>
      <c r="C14" s="754">
        <v>13155000</v>
      </c>
      <c r="D14" s="734">
        <v>13155000</v>
      </c>
      <c r="E14" s="734"/>
      <c r="F14" s="408" t="str">
        <f t="shared" si="3"/>
        <v/>
      </c>
      <c r="G14" s="408">
        <f t="shared" si="4"/>
        <v>110701000</v>
      </c>
      <c r="H14" s="44">
        <f t="shared" si="0"/>
        <v>0</v>
      </c>
      <c r="I14" s="124" t="str">
        <f t="shared" si="1"/>
        <v/>
      </c>
      <c r="J14" s="675" t="str">
        <f t="shared" si="2"/>
        <v/>
      </c>
    </row>
    <row r="15" spans="1:10" ht="12.75" customHeight="1" x14ac:dyDescent="0.25">
      <c r="A15" s="39" t="s">
        <v>927</v>
      </c>
      <c r="B15" s="749">
        <v>8654474.5399999991</v>
      </c>
      <c r="C15" s="754">
        <v>10547000</v>
      </c>
      <c r="D15" s="734">
        <v>10547000</v>
      </c>
      <c r="E15" s="734"/>
      <c r="F15" s="408" t="str">
        <f t="shared" si="3"/>
        <v/>
      </c>
      <c r="G15" s="408">
        <f t="shared" si="4"/>
        <v>121248000</v>
      </c>
      <c r="H15" s="44">
        <f t="shared" si="0"/>
        <v>0</v>
      </c>
      <c r="I15" s="124" t="str">
        <f t="shared" si="1"/>
        <v/>
      </c>
      <c r="J15" s="676" t="str">
        <f t="shared" si="2"/>
        <v/>
      </c>
    </row>
    <row r="16" spans="1:10" ht="12.75" customHeight="1" x14ac:dyDescent="0.25">
      <c r="A16" s="39" t="s">
        <v>928</v>
      </c>
      <c r="B16" s="749">
        <v>17774802.169999998</v>
      </c>
      <c r="C16" s="754">
        <v>9821000</v>
      </c>
      <c r="D16" s="734">
        <v>9821000</v>
      </c>
      <c r="E16" s="734"/>
      <c r="F16" s="408" t="str">
        <f t="shared" si="3"/>
        <v/>
      </c>
      <c r="G16" s="408">
        <f t="shared" si="4"/>
        <v>131069000</v>
      </c>
      <c r="H16" s="44">
        <f t="shared" si="0"/>
        <v>0</v>
      </c>
      <c r="I16" s="124" t="str">
        <f t="shared" si="1"/>
        <v/>
      </c>
      <c r="J16" s="676" t="str">
        <f t="shared" si="2"/>
        <v/>
      </c>
    </row>
    <row r="17" spans="1:10" ht="12.75" customHeight="1" x14ac:dyDescent="0.25">
      <c r="A17" s="247" t="s">
        <v>929</v>
      </c>
      <c r="B17" s="750">
        <v>8264280</v>
      </c>
      <c r="C17" s="758">
        <v>11417000</v>
      </c>
      <c r="D17" s="752">
        <v>11417000</v>
      </c>
      <c r="E17" s="752"/>
      <c r="F17" s="409" t="str">
        <f t="shared" si="3"/>
        <v/>
      </c>
      <c r="G17" s="409">
        <f t="shared" si="4"/>
        <v>142486000</v>
      </c>
      <c r="H17" s="99">
        <f>IF(F17="",0,G17-F17)</f>
        <v>0</v>
      </c>
      <c r="I17" s="324" t="str">
        <f>IF(F17="","",IF(H17=0,"",H17/G17))</f>
        <v/>
      </c>
      <c r="J17" s="677" t="str">
        <f>IF(F17="","",F17/$C$18)</f>
        <v/>
      </c>
    </row>
    <row r="18" spans="1:10" ht="12.75" customHeight="1" x14ac:dyDescent="0.25">
      <c r="A18" s="94" t="s">
        <v>574</v>
      </c>
      <c r="B18" s="244">
        <f>SUM(B6:B17)</f>
        <v>103447887.78000002</v>
      </c>
      <c r="C18" s="265">
        <f>SUM(C6:C17)</f>
        <v>142486000</v>
      </c>
      <c r="D18" s="76">
        <f>SUM(D6:D17)</f>
        <v>142486000</v>
      </c>
      <c r="E18" s="76">
        <f>SUM(E6:E17)</f>
        <v>74625500.450000003</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5" t="s">
        <v>651</v>
      </c>
      <c r="B1" s="986"/>
      <c r="C1" s="986"/>
      <c r="D1" s="987"/>
    </row>
    <row r="2" spans="1:4" x14ac:dyDescent="0.2">
      <c r="A2" s="722" t="s">
        <v>917</v>
      </c>
      <c r="B2" s="723" t="str">
        <f>HLOOKUP(MTREF,Headings,2)</f>
        <v>2018/19</v>
      </c>
      <c r="C2" s="724" t="s">
        <v>42</v>
      </c>
      <c r="D2" s="725"/>
    </row>
    <row r="3" spans="1:4" x14ac:dyDescent="0.2">
      <c r="A3" s="726" t="s">
        <v>950</v>
      </c>
      <c r="B3" s="727" t="str">
        <f>HLOOKUP(MTREF,Headings,5)</f>
        <v>Budget Year 2019/20</v>
      </c>
      <c r="C3" s="727" t="s">
        <v>47</v>
      </c>
      <c r="D3" s="728"/>
    </row>
    <row r="4" spans="1:4" x14ac:dyDescent="0.2">
      <c r="A4" s="726" t="s">
        <v>693</v>
      </c>
      <c r="B4" s="727" t="str">
        <f>HLOOKUP(MTREF,Headings,4)</f>
        <v>2019/20</v>
      </c>
      <c r="C4" s="727" t="s">
        <v>48</v>
      </c>
      <c r="D4" s="728"/>
    </row>
    <row r="5" spans="1:4" x14ac:dyDescent="0.2">
      <c r="A5" s="726" t="s">
        <v>951</v>
      </c>
      <c r="B5" s="727" t="str">
        <f>HLOOKUP(MTREF,Headings,3)</f>
        <v>2019/20 Medium Term Revenue &amp; Expenditure Framework</v>
      </c>
      <c r="C5" s="727" t="s">
        <v>43</v>
      </c>
      <c r="D5" s="728"/>
    </row>
    <row r="6" spans="1:4" x14ac:dyDescent="0.2">
      <c r="A6" s="2" t="s">
        <v>952</v>
      </c>
      <c r="B6" s="4" t="s">
        <v>524</v>
      </c>
      <c r="C6" s="4"/>
      <c r="D6" s="9"/>
    </row>
    <row r="7" spans="1:4" x14ac:dyDescent="0.2">
      <c r="A7" s="2" t="s">
        <v>558</v>
      </c>
      <c r="B7" s="4" t="s">
        <v>559</v>
      </c>
      <c r="C7" s="4"/>
      <c r="D7" s="9"/>
    </row>
    <row r="8" spans="1:4" x14ac:dyDescent="0.2">
      <c r="A8" s="2" t="s">
        <v>979</v>
      </c>
      <c r="B8" s="4" t="s">
        <v>980</v>
      </c>
      <c r="C8" s="4"/>
      <c r="D8" s="9"/>
    </row>
    <row r="9" spans="1:4" x14ac:dyDescent="0.2">
      <c r="A9" s="2" t="s">
        <v>953</v>
      </c>
      <c r="B9" s="4" t="s">
        <v>618</v>
      </c>
      <c r="C9" s="4"/>
      <c r="D9" s="9"/>
    </row>
    <row r="10" spans="1:4" x14ac:dyDescent="0.2">
      <c r="A10" s="2" t="s">
        <v>954</v>
      </c>
      <c r="B10" s="4" t="s">
        <v>843</v>
      </c>
      <c r="C10" s="4"/>
      <c r="D10" s="9"/>
    </row>
    <row r="11" spans="1:4" x14ac:dyDescent="0.2">
      <c r="A11" s="2" t="s">
        <v>955</v>
      </c>
      <c r="B11" s="4" t="s">
        <v>844</v>
      </c>
      <c r="C11" s="4"/>
      <c r="D11" s="9"/>
    </row>
    <row r="12" spans="1:4" x14ac:dyDescent="0.2">
      <c r="A12" s="726" t="s">
        <v>956</v>
      </c>
      <c r="B12" s="727" t="str">
        <f>HLOOKUP(MTREF,Headings,5)</f>
        <v>Budget Year 2019/20</v>
      </c>
      <c r="C12" s="727" t="s">
        <v>44</v>
      </c>
      <c r="D12" s="729" t="s">
        <v>709</v>
      </c>
    </row>
    <row r="13" spans="1:4" x14ac:dyDescent="0.2">
      <c r="A13" s="726" t="s">
        <v>957</v>
      </c>
      <c r="B13" s="727" t="str">
        <f>HLOOKUP(MTREF,Headings,6)</f>
        <v>Budget Year +1 2020/21</v>
      </c>
      <c r="C13" s="727" t="s">
        <v>45</v>
      </c>
      <c r="D13" s="729" t="s">
        <v>710</v>
      </c>
    </row>
    <row r="14" spans="1:4" x14ac:dyDescent="0.2">
      <c r="A14" s="726" t="s">
        <v>959</v>
      </c>
      <c r="B14" s="727" t="str">
        <f>HLOOKUP(MTREF,Headings,7)</f>
        <v>Budget Year +2 2021/22</v>
      </c>
      <c r="C14" s="727" t="s">
        <v>46</v>
      </c>
      <c r="D14" s="729" t="s">
        <v>711</v>
      </c>
    </row>
    <row r="15" spans="1:4" x14ac:dyDescent="0.2">
      <c r="A15" s="2" t="s">
        <v>960</v>
      </c>
      <c r="B15" s="4" t="s">
        <v>718</v>
      </c>
      <c r="C15" s="4"/>
      <c r="D15" s="14" t="s">
        <v>712</v>
      </c>
    </row>
    <row r="16" spans="1:4" x14ac:dyDescent="0.2">
      <c r="A16" s="2" t="s">
        <v>961</v>
      </c>
      <c r="B16" s="4" t="s">
        <v>719</v>
      </c>
      <c r="C16" s="4"/>
      <c r="D16" s="14" t="s">
        <v>713</v>
      </c>
    </row>
    <row r="17" spans="1:4" x14ac:dyDescent="0.2">
      <c r="A17" s="2" t="s">
        <v>962</v>
      </c>
      <c r="B17" s="4" t="s">
        <v>720</v>
      </c>
      <c r="C17" s="4"/>
      <c r="D17" s="14" t="s">
        <v>714</v>
      </c>
    </row>
    <row r="18" spans="1:4" x14ac:dyDescent="0.2">
      <c r="A18" s="2" t="s">
        <v>963</v>
      </c>
      <c r="B18" s="4" t="s">
        <v>721</v>
      </c>
      <c r="C18" s="4"/>
      <c r="D18" s="14" t="s">
        <v>715</v>
      </c>
    </row>
    <row r="19" spans="1:4" x14ac:dyDescent="0.2">
      <c r="A19" s="2" t="s">
        <v>964</v>
      </c>
      <c r="B19" s="4" t="s">
        <v>567</v>
      </c>
      <c r="C19" s="4"/>
      <c r="D19" s="14" t="s">
        <v>716</v>
      </c>
    </row>
    <row r="20" spans="1:4" x14ac:dyDescent="0.2">
      <c r="A20" s="2" t="s">
        <v>965</v>
      </c>
      <c r="B20" s="4" t="s">
        <v>568</v>
      </c>
      <c r="C20" s="4"/>
      <c r="D20" s="14" t="s">
        <v>717</v>
      </c>
    </row>
    <row r="21" spans="1:4" x14ac:dyDescent="0.2">
      <c r="A21" s="2" t="s">
        <v>966</v>
      </c>
      <c r="B21" s="4" t="s">
        <v>569</v>
      </c>
      <c r="C21" s="4"/>
      <c r="D21" s="14" t="s">
        <v>627</v>
      </c>
    </row>
    <row r="22" spans="1:4" x14ac:dyDescent="0.2">
      <c r="A22" s="2" t="s">
        <v>967</v>
      </c>
      <c r="B22" s="4" t="s">
        <v>570</v>
      </c>
      <c r="C22" s="4"/>
      <c r="D22" s="14" t="s">
        <v>487</v>
      </c>
    </row>
    <row r="23" spans="1:4" x14ac:dyDescent="0.2">
      <c r="A23" s="2" t="s">
        <v>968</v>
      </c>
      <c r="B23" s="4" t="s">
        <v>450</v>
      </c>
      <c r="C23" s="4"/>
      <c r="D23" s="14" t="s">
        <v>488</v>
      </c>
    </row>
    <row r="24" spans="1:4" x14ac:dyDescent="0.2">
      <c r="A24" s="2" t="s">
        <v>969</v>
      </c>
      <c r="B24" s="4" t="s">
        <v>449</v>
      </c>
      <c r="C24" s="4"/>
      <c r="D24" s="14" t="s">
        <v>489</v>
      </c>
    </row>
    <row r="25" spans="1:4" x14ac:dyDescent="0.2">
      <c r="A25" s="2" t="s">
        <v>970</v>
      </c>
      <c r="B25" s="4" t="s">
        <v>571</v>
      </c>
      <c r="C25" s="4"/>
      <c r="D25" s="14" t="s">
        <v>490</v>
      </c>
    </row>
    <row r="26" spans="1:4" x14ac:dyDescent="0.2">
      <c r="A26" s="2" t="s">
        <v>971</v>
      </c>
      <c r="B26" s="4" t="s">
        <v>958</v>
      </c>
      <c r="C26" s="4"/>
      <c r="D26" s="14" t="s">
        <v>491</v>
      </c>
    </row>
    <row r="27" spans="1:4" x14ac:dyDescent="0.2">
      <c r="A27" s="2" t="s">
        <v>636</v>
      </c>
      <c r="B27" s="4" t="s">
        <v>682</v>
      </c>
      <c r="C27" s="4"/>
      <c r="D27" s="14" t="s">
        <v>637</v>
      </c>
    </row>
    <row r="28" spans="1:4" x14ac:dyDescent="0.2">
      <c r="A28" s="2" t="s">
        <v>556</v>
      </c>
      <c r="B28" s="4" t="s">
        <v>439</v>
      </c>
      <c r="C28" s="4"/>
      <c r="D28" s="14" t="s">
        <v>557</v>
      </c>
    </row>
    <row r="29" spans="1:4" x14ac:dyDescent="0.2">
      <c r="A29" s="2" t="s">
        <v>667</v>
      </c>
      <c r="B29" s="4" t="s">
        <v>668</v>
      </c>
      <c r="C29" s="4"/>
      <c r="D29" s="14" t="s">
        <v>669</v>
      </c>
    </row>
    <row r="30" spans="1:4" x14ac:dyDescent="0.2">
      <c r="A30" s="2" t="s">
        <v>670</v>
      </c>
      <c r="B30" s="4" t="s">
        <v>579</v>
      </c>
      <c r="C30" s="4"/>
      <c r="D30" s="14"/>
    </row>
    <row r="31" spans="1:4" x14ac:dyDescent="0.2">
      <c r="A31" s="2" t="s">
        <v>654</v>
      </c>
      <c r="B31" s="4" t="s">
        <v>655</v>
      </c>
      <c r="C31" s="4"/>
      <c r="D31" s="14"/>
    </row>
    <row r="32" spans="1:4" x14ac:dyDescent="0.2">
      <c r="A32" s="2" t="s">
        <v>572</v>
      </c>
      <c r="B32" s="4" t="s">
        <v>907</v>
      </c>
      <c r="C32" s="4"/>
      <c r="D32" s="14" t="s">
        <v>573</v>
      </c>
    </row>
    <row r="33" spans="1:4" x14ac:dyDescent="0.2">
      <c r="A33" s="2" t="s">
        <v>773</v>
      </c>
      <c r="B33" s="4" t="s">
        <v>779</v>
      </c>
      <c r="C33" s="4"/>
      <c r="D33" s="14"/>
    </row>
    <row r="34" spans="1:4" x14ac:dyDescent="0.2">
      <c r="A34" s="2" t="s">
        <v>774</v>
      </c>
      <c r="B34" s="4" t="s">
        <v>780</v>
      </c>
      <c r="C34" s="4"/>
      <c r="D34" s="14"/>
    </row>
    <row r="35" spans="1:4" x14ac:dyDescent="0.2">
      <c r="A35" s="2" t="s">
        <v>775</v>
      </c>
      <c r="B35" s="4" t="s">
        <v>530</v>
      </c>
      <c r="C35" s="4"/>
      <c r="D35" s="14"/>
    </row>
    <row r="36" spans="1:4" x14ac:dyDescent="0.2">
      <c r="A36" s="2" t="s">
        <v>776</v>
      </c>
      <c r="B36" s="4" t="s">
        <v>621</v>
      </c>
      <c r="C36" s="4"/>
      <c r="D36" s="14"/>
    </row>
    <row r="37" spans="1:4" x14ac:dyDescent="0.2">
      <c r="A37" s="2" t="s">
        <v>777</v>
      </c>
      <c r="B37" s="4" t="s">
        <v>622</v>
      </c>
      <c r="C37" s="4"/>
      <c r="D37" s="14"/>
    </row>
    <row r="38" spans="1:4" x14ac:dyDescent="0.2">
      <c r="A38" s="2" t="s">
        <v>778</v>
      </c>
      <c r="B38" s="4" t="s">
        <v>528</v>
      </c>
      <c r="C38" s="4"/>
      <c r="D38" s="14"/>
    </row>
    <row r="39" spans="1:4" x14ac:dyDescent="0.2">
      <c r="A39" s="2" t="s">
        <v>529</v>
      </c>
      <c r="B39" s="4" t="s">
        <v>591</v>
      </c>
      <c r="C39" s="4"/>
      <c r="D39" s="14"/>
    </row>
    <row r="40" spans="1:4" x14ac:dyDescent="0.2">
      <c r="A40" s="2" t="s">
        <v>751</v>
      </c>
      <c r="B40" s="4" t="s">
        <v>683</v>
      </c>
      <c r="C40" s="4"/>
      <c r="D40" s="14"/>
    </row>
    <row r="41" spans="1:4" x14ac:dyDescent="0.2">
      <c r="A41" s="2" t="s">
        <v>752</v>
      </c>
      <c r="B41" s="4" t="s">
        <v>684</v>
      </c>
      <c r="C41" s="4"/>
      <c r="D41" s="14"/>
    </row>
    <row r="42" spans="1:4" x14ac:dyDescent="0.2">
      <c r="A42" s="2" t="s">
        <v>753</v>
      </c>
      <c r="B42" s="4" t="s">
        <v>758</v>
      </c>
      <c r="C42" s="4"/>
      <c r="D42" s="14"/>
    </row>
    <row r="43" spans="1:4" x14ac:dyDescent="0.2">
      <c r="A43" s="2" t="s">
        <v>757</v>
      </c>
      <c r="B43" s="4" t="s">
        <v>726</v>
      </c>
      <c r="C43" s="4"/>
      <c r="D43" s="14"/>
    </row>
    <row r="44" spans="1:4" x14ac:dyDescent="0.2">
      <c r="A44" s="2" t="s">
        <v>514</v>
      </c>
      <c r="B44" s="7" t="s">
        <v>727</v>
      </c>
      <c r="C44" s="4"/>
      <c r="D44" s="14"/>
    </row>
    <row r="45" spans="1:4" x14ac:dyDescent="0.2">
      <c r="A45" s="2" t="s">
        <v>515</v>
      </c>
      <c r="B45" s="7" t="s">
        <v>795</v>
      </c>
      <c r="C45" s="4"/>
      <c r="D45" s="14"/>
    </row>
    <row r="46" spans="1:4" x14ac:dyDescent="0.2">
      <c r="A46" s="2" t="s">
        <v>516</v>
      </c>
      <c r="B46" s="7" t="s">
        <v>486</v>
      </c>
      <c r="C46" s="4"/>
      <c r="D46" s="14"/>
    </row>
    <row r="47" spans="1:4" x14ac:dyDescent="0.2">
      <c r="A47" s="2" t="s">
        <v>794</v>
      </c>
      <c r="B47" s="7" t="str">
        <f>Head3&amp;" Summary"</f>
        <v>2019/20 Medium Term Revenue &amp; Expenditure Framework Summary</v>
      </c>
      <c r="C47" s="4"/>
      <c r="D47" s="14"/>
    </row>
    <row r="48" spans="1:4" x14ac:dyDescent="0.2">
      <c r="A48" s="2" t="s">
        <v>623</v>
      </c>
      <c r="B48" s="7" t="s">
        <v>626</v>
      </c>
      <c r="C48" s="4"/>
      <c r="D48" s="14"/>
    </row>
    <row r="49" spans="1:4" x14ac:dyDescent="0.2">
      <c r="A49" s="2" t="s">
        <v>624</v>
      </c>
      <c r="B49" s="7" t="s">
        <v>625</v>
      </c>
      <c r="C49" s="4"/>
      <c r="D49" s="14"/>
    </row>
    <row r="50" spans="1:4" x14ac:dyDescent="0.2">
      <c r="A50" s="2" t="s">
        <v>941</v>
      </c>
      <c r="B50" s="16" t="s">
        <v>472</v>
      </c>
      <c r="C50" s="17"/>
      <c r="D50" s="14"/>
    </row>
    <row r="51" spans="1:4" x14ac:dyDescent="0.2">
      <c r="A51" s="2" t="s">
        <v>653</v>
      </c>
      <c r="B51" s="7" t="s">
        <v>639</v>
      </c>
      <c r="C51" s="4"/>
      <c r="D51" s="14"/>
    </row>
    <row r="52" spans="1:4" x14ac:dyDescent="0.2">
      <c r="A52" s="2" t="s">
        <v>581</v>
      </c>
      <c r="B52" s="7" t="s">
        <v>441</v>
      </c>
      <c r="C52" s="4"/>
      <c r="D52" s="14"/>
    </row>
    <row r="53" spans="1:4" x14ac:dyDescent="0.2">
      <c r="A53" s="2" t="s">
        <v>646</v>
      </c>
      <c r="B53" s="7" t="s">
        <v>648</v>
      </c>
      <c r="C53" s="4"/>
      <c r="D53" s="14"/>
    </row>
    <row r="54" spans="1:4" x14ac:dyDescent="0.2">
      <c r="A54" s="2" t="s">
        <v>647</v>
      </c>
      <c r="B54" s="7" t="s">
        <v>837</v>
      </c>
      <c r="C54" s="4"/>
      <c r="D54" s="14"/>
    </row>
    <row r="55" spans="1:4" x14ac:dyDescent="0.2">
      <c r="A55" s="2" t="s">
        <v>832</v>
      </c>
      <c r="B55" s="7" t="s">
        <v>836</v>
      </c>
      <c r="C55" s="4"/>
      <c r="D55" s="14"/>
    </row>
    <row r="56" spans="1:4" x14ac:dyDescent="0.2">
      <c r="A56" s="2" t="s">
        <v>833</v>
      </c>
      <c r="B56" s="7" t="s">
        <v>471</v>
      </c>
      <c r="C56" s="4"/>
      <c r="D56" s="14"/>
    </row>
    <row r="57" spans="1:4" x14ac:dyDescent="0.2">
      <c r="A57" s="2" t="s">
        <v>834</v>
      </c>
      <c r="B57" s="7" t="s">
        <v>838</v>
      </c>
      <c r="C57" s="4"/>
      <c r="D57" s="14"/>
    </row>
    <row r="58" spans="1:4" x14ac:dyDescent="0.2">
      <c r="A58" s="2" t="s">
        <v>835</v>
      </c>
      <c r="B58" s="7" t="s">
        <v>976</v>
      </c>
      <c r="C58" s="4"/>
      <c r="D58" s="14"/>
    </row>
    <row r="59" spans="1:4" x14ac:dyDescent="0.2">
      <c r="A59" s="2" t="s">
        <v>674</v>
      </c>
      <c r="B59" s="7" t="s">
        <v>470</v>
      </c>
      <c r="C59" s="4"/>
      <c r="D59" s="14"/>
    </row>
    <row r="60" spans="1:4" x14ac:dyDescent="0.2">
      <c r="A60" s="2" t="s">
        <v>801</v>
      </c>
      <c r="B60" s="7" t="s">
        <v>802</v>
      </c>
      <c r="C60" s="4"/>
      <c r="D60" s="14"/>
    </row>
    <row r="61" spans="1:4" x14ac:dyDescent="0.2">
      <c r="A61" s="2" t="s">
        <v>724</v>
      </c>
      <c r="B61" s="591" t="str">
        <f>date</f>
        <v>M06 December</v>
      </c>
      <c r="C61" s="4"/>
      <c r="D61" s="14"/>
    </row>
    <row r="62" spans="1:4" x14ac:dyDescent="0.2">
      <c r="A62" s="2" t="s">
        <v>981</v>
      </c>
      <c r="B62" s="7" t="s">
        <v>982</v>
      </c>
      <c r="C62" s="4"/>
      <c r="D62" s="14"/>
    </row>
    <row r="63" spans="1:4" x14ac:dyDescent="0.2">
      <c r="A63" s="2" t="s">
        <v>983</v>
      </c>
      <c r="B63" s="7" t="s">
        <v>638</v>
      </c>
      <c r="C63" s="4"/>
      <c r="D63" s="14"/>
    </row>
    <row r="64" spans="1:4" x14ac:dyDescent="0.2">
      <c r="A64" s="2" t="s">
        <v>12</v>
      </c>
      <c r="B64" s="7" t="s">
        <v>900</v>
      </c>
      <c r="C64" s="9" t="s">
        <v>49</v>
      </c>
      <c r="D64" s="730" t="e">
        <f>MONTH(date)</f>
        <v>#VALUE!</v>
      </c>
    </row>
    <row r="65" spans="1:6" x14ac:dyDescent="0.2">
      <c r="A65" s="2" t="s">
        <v>862</v>
      </c>
      <c r="B65" s="7" t="s">
        <v>860</v>
      </c>
      <c r="C65" s="4"/>
      <c r="D65" s="14"/>
    </row>
    <row r="66" spans="1:6" x14ac:dyDescent="0.2">
      <c r="A66" s="2" t="s">
        <v>863</v>
      </c>
      <c r="B66" s="7" t="s">
        <v>861</v>
      </c>
      <c r="C66" s="4"/>
      <c r="D66" s="14"/>
    </row>
    <row r="67" spans="1:6" x14ac:dyDescent="0.2">
      <c r="A67" s="2" t="s">
        <v>864</v>
      </c>
      <c r="B67" s="7" t="s">
        <v>866</v>
      </c>
      <c r="C67" s="4"/>
      <c r="D67" s="14"/>
    </row>
    <row r="68" spans="1:6" x14ac:dyDescent="0.2">
      <c r="A68" s="2" t="s">
        <v>865</v>
      </c>
      <c r="B68" s="7" t="s">
        <v>663</v>
      </c>
      <c r="C68" s="4"/>
      <c r="D68" s="14"/>
    </row>
    <row r="69" spans="1:6" x14ac:dyDescent="0.2">
      <c r="A69" s="2" t="s">
        <v>664</v>
      </c>
      <c r="B69" s="7" t="s">
        <v>701</v>
      </c>
      <c r="C69" s="4"/>
      <c r="D69" s="14"/>
    </row>
    <row r="70" spans="1:6" x14ac:dyDescent="0.2">
      <c r="A70" s="2" t="s">
        <v>665</v>
      </c>
      <c r="B70" s="7" t="s">
        <v>702</v>
      </c>
      <c r="C70" s="4"/>
      <c r="D70" s="14"/>
    </row>
    <row r="71" spans="1:6" x14ac:dyDescent="0.2">
      <c r="A71" s="2" t="s">
        <v>704</v>
      </c>
      <c r="B71" s="7" t="s">
        <v>703</v>
      </c>
      <c r="C71" s="4"/>
      <c r="D71" s="14"/>
    </row>
    <row r="72" spans="1:6" x14ac:dyDescent="0.2">
      <c r="A72" s="990" t="s">
        <v>762</v>
      </c>
      <c r="B72" s="991"/>
      <c r="C72" s="991"/>
      <c r="D72" s="992"/>
    </row>
    <row r="73" spans="1:6" x14ac:dyDescent="0.2">
      <c r="A73" s="731" t="s">
        <v>666</v>
      </c>
      <c r="B73" s="732" t="str">
        <f>'Lookup and lists'!B27</f>
        <v>LIM333 Greater Tzaneen</v>
      </c>
      <c r="C73" s="732"/>
      <c r="D73" s="6"/>
    </row>
    <row r="74" spans="1:6" x14ac:dyDescent="0.2">
      <c r="A74" s="731" t="s">
        <v>86</v>
      </c>
      <c r="B74" s="733">
        <v>1</v>
      </c>
      <c r="C74" s="732" t="s">
        <v>158</v>
      </c>
      <c r="D74" s="6">
        <v>2</v>
      </c>
    </row>
    <row r="75" spans="1:6" x14ac:dyDescent="0.2">
      <c r="A75" s="648" t="str">
        <f>IF((MuniEntities=1)*(MuniType=2),"YES","NO")</f>
        <v>YES</v>
      </c>
      <c r="B75" s="372" t="s">
        <v>633</v>
      </c>
      <c r="C75" s="590"/>
      <c r="D75" s="6"/>
    </row>
    <row r="76" spans="1:6" x14ac:dyDescent="0.2">
      <c r="A76" s="988" t="s">
        <v>805</v>
      </c>
      <c r="B76" s="989"/>
      <c r="C76" s="369"/>
      <c r="D76" s="18"/>
    </row>
    <row r="77" spans="1:6" x14ac:dyDescent="0.2">
      <c r="A77" s="11" t="s">
        <v>645</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584</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685</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686</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585</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687</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688</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586</v>
      </c>
      <c r="B84" s="4" t="str">
        <f>D84&amp;"Material variance explanations "</f>
        <v xml:space="preserve">Supporting Table SC1 Material variance explanations </v>
      </c>
      <c r="C84" s="4"/>
      <c r="D84" s="14" t="s">
        <v>101</v>
      </c>
    </row>
    <row r="85" spans="1:6" x14ac:dyDescent="0.2">
      <c r="A85" s="12" t="s">
        <v>689</v>
      </c>
      <c r="B85" s="4" t="str">
        <f>D85&amp;"Monthly Budget Statement - performance indicators  "</f>
        <v xml:space="preserve">Supporting Table SC2 Monthly Budget Statement - performance indicators  </v>
      </c>
      <c r="C85" s="4"/>
      <c r="D85" s="14" t="s">
        <v>102</v>
      </c>
    </row>
    <row r="86" spans="1:6" x14ac:dyDescent="0.2">
      <c r="A86" s="12" t="s">
        <v>690</v>
      </c>
      <c r="B86" s="4" t="str">
        <f>D86&amp;"Monthly Budget Statement - aged debtors"</f>
        <v>Supporting Table SC3 Monthly Budget Statement - aged debtors</v>
      </c>
      <c r="C86" s="4"/>
      <c r="D86" s="14" t="s">
        <v>103</v>
      </c>
    </row>
    <row r="87" spans="1:6" x14ac:dyDescent="0.2">
      <c r="A87" s="12" t="s">
        <v>691</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756</v>
      </c>
      <c r="B89" s="4" t="str">
        <f>D89&amp;"Monthly Budget Statement - transfers and grant receipts "</f>
        <v xml:space="preserve">Supporting Table SC6 Monthly Budget Statement - transfers and grant receipts </v>
      </c>
      <c r="C89" s="4"/>
      <c r="D89" s="14" t="s">
        <v>106</v>
      </c>
    </row>
    <row r="90" spans="1:6" x14ac:dyDescent="0.2">
      <c r="A90" s="12" t="s">
        <v>944</v>
      </c>
      <c r="B90" s="4" t="str">
        <f>D90&amp;" Monthly Budget Statement - transfers and grant expenditure "</f>
        <v xml:space="preserve">Supporting Table SC7(1) Monthly Budget Statement - transfers and grant expenditure </v>
      </c>
      <c r="C90" s="4"/>
      <c r="D90" s="14" t="s">
        <v>1102</v>
      </c>
    </row>
    <row r="91" spans="1:6" x14ac:dyDescent="0.2">
      <c r="A91" s="12" t="s">
        <v>945</v>
      </c>
      <c r="B91" s="4" t="str">
        <f>D91&amp;"Monthly Budget Statement - councillor and staff benefits "</f>
        <v xml:space="preserve">Supporting Table SC8 Monthly Budget Statement - councillor and staff benefits </v>
      </c>
      <c r="C91" s="4"/>
      <c r="D91" s="14" t="s">
        <v>107</v>
      </c>
    </row>
    <row r="92" spans="1:6" x14ac:dyDescent="0.2">
      <c r="A92" s="12" t="s">
        <v>784</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785</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807</v>
      </c>
    </row>
    <row r="94" spans="1:6" x14ac:dyDescent="0.2">
      <c r="A94" s="12" t="s">
        <v>786</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807</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1055</v>
      </c>
      <c r="B99" s="4" t="str">
        <f t="shared" si="1"/>
        <v>Supporting Table SC13d Consolidated Monthly Budget Statement - depreciation by asset class</v>
      </c>
      <c r="C99" s="4"/>
      <c r="D99" s="14" t="s">
        <v>1056</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1340</v>
      </c>
      <c r="B100" s="4" t="str">
        <f>IF(Consolques="YES",E100,F100)</f>
        <v>Supporting Table SC13e Consolidated Monthly Budget Statement - capital expenditure on upgrading of existing assets by asset class</v>
      </c>
      <c r="C100" s="4"/>
      <c r="D100" s="14" t="s">
        <v>1341</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692</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1101</v>
      </c>
      <c r="B107" s="4" t="str">
        <f>D107&amp;" Monthly Budget Statement - Expenditure against approved rollovers"</f>
        <v>Supporting Table SC7(2) Monthly Budget Statement - Expenditure against approved rollovers</v>
      </c>
      <c r="C107" s="4"/>
      <c r="D107" s="14" t="s">
        <v>1103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5"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58" activePane="bottomRight" state="frozen"/>
      <selection pane="topRight"/>
      <selection pane="bottomLeft"/>
      <selection pane="bottomRight" activeCell="H24" sqref="H24"/>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"&amp;S71Sa&amp; " - "&amp;Head57</f>
        <v>LIM333 Greater Tzaneen - Supporting Table SC13a Consolidated Monthly Budget Statement - capital expenditure on new assets by asset class - M06 December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892</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71828647</v>
      </c>
      <c r="D7" s="603">
        <f t="shared" si="0"/>
        <v>56902421</v>
      </c>
      <c r="E7" s="102">
        <f t="shared" si="0"/>
        <v>56902421</v>
      </c>
      <c r="F7" s="102">
        <f t="shared" si="0"/>
        <v>6148623.1600000001</v>
      </c>
      <c r="G7" s="102">
        <f t="shared" si="0"/>
        <v>43556075.700000003</v>
      </c>
      <c r="H7" s="102">
        <f t="shared" si="0"/>
        <v>39687660</v>
      </c>
      <c r="I7" s="101">
        <f t="shared" ref="I7:I37" si="1">H7-G7</f>
        <v>-3868415.700000003</v>
      </c>
      <c r="J7" s="580">
        <f t="shared" ref="J7:J37" si="2">IF(I7=0,"",I7/H7)</f>
        <v>-9.7471498697580122E-2</v>
      </c>
      <c r="K7" s="604">
        <f>K8+K13+K17+K27+K38+K45+K53+K63+K69</f>
        <v>56902421</v>
      </c>
    </row>
    <row r="8" spans="1:11" ht="12.75" customHeight="1" x14ac:dyDescent="0.25">
      <c r="A8" s="518" t="s">
        <v>1225</v>
      </c>
      <c r="B8" s="169"/>
      <c r="C8" s="678">
        <f t="shared" ref="C8:H8" si="3">SUM(C9:C12)</f>
        <v>53816542</v>
      </c>
      <c r="D8" s="610">
        <f t="shared" si="3"/>
        <v>41902421</v>
      </c>
      <c r="E8" s="609">
        <f t="shared" si="3"/>
        <v>41902421</v>
      </c>
      <c r="F8" s="609">
        <f t="shared" si="3"/>
        <v>3520424.66</v>
      </c>
      <c r="G8" s="609">
        <f t="shared" si="3"/>
        <v>30930749.48</v>
      </c>
      <c r="H8" s="609">
        <f t="shared" si="3"/>
        <v>28974000</v>
      </c>
      <c r="I8" s="258">
        <f t="shared" si="1"/>
        <v>-1956749.4800000004</v>
      </c>
      <c r="J8" s="576">
        <f t="shared" si="2"/>
        <v>-6.7534668323324373E-2</v>
      </c>
      <c r="K8" s="611">
        <f>SUM(K9:K12)</f>
        <v>41902421</v>
      </c>
    </row>
    <row r="9" spans="1:11" ht="12.75" customHeight="1" x14ac:dyDescent="0.25">
      <c r="A9" s="575" t="s">
        <v>174</v>
      </c>
      <c r="B9" s="169"/>
      <c r="C9" s="749">
        <v>53816542</v>
      </c>
      <c r="D9" s="746">
        <v>41902421</v>
      </c>
      <c r="E9" s="746">
        <v>41902421</v>
      </c>
      <c r="F9" s="734">
        <v>3520424.66</v>
      </c>
      <c r="G9" s="734">
        <v>30930749.48</v>
      </c>
      <c r="H9" s="734">
        <v>28974000</v>
      </c>
      <c r="I9" s="258">
        <f t="shared" si="1"/>
        <v>-1956749.4800000004</v>
      </c>
      <c r="J9" s="576">
        <f t="shared" si="2"/>
        <v>-6.7534668323324373E-2</v>
      </c>
      <c r="K9" s="736">
        <v>41902421</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16764784</v>
      </c>
      <c r="D17" s="650">
        <f t="shared" si="5"/>
        <v>15000000</v>
      </c>
      <c r="E17" s="408">
        <f t="shared" si="5"/>
        <v>15000000</v>
      </c>
      <c r="F17" s="408">
        <f t="shared" si="5"/>
        <v>2628198.5</v>
      </c>
      <c r="G17" s="408">
        <f t="shared" si="5"/>
        <v>12625326.219999999</v>
      </c>
      <c r="H17" s="408">
        <f t="shared" si="5"/>
        <v>10713660</v>
      </c>
      <c r="I17" s="258">
        <f t="shared" si="1"/>
        <v>-1911666.2199999988</v>
      </c>
      <c r="J17" s="576">
        <f t="shared" si="2"/>
        <v>-0.17843260099723146</v>
      </c>
      <c r="K17" s="643">
        <f>SUM(K18:K26)</f>
        <v>15000000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16764784</v>
      </c>
      <c r="D24" s="746">
        <v>15000000</v>
      </c>
      <c r="E24" s="746">
        <v>15000000</v>
      </c>
      <c r="F24" s="746">
        <v>2628198.5</v>
      </c>
      <c r="G24" s="734">
        <v>12625326.219999999</v>
      </c>
      <c r="H24" s="734">
        <v>10713660</v>
      </c>
      <c r="I24" s="258">
        <f t="shared" si="1"/>
        <v>-1911666.2199999988</v>
      </c>
      <c r="J24" s="576">
        <f t="shared" si="2"/>
        <v>-0.17843260099723146</v>
      </c>
      <c r="K24" s="736">
        <v>15000000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1253</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1254</v>
      </c>
      <c r="B41" s="169"/>
      <c r="C41" s="749"/>
      <c r="D41" s="746"/>
      <c r="E41" s="734"/>
      <c r="F41" s="734"/>
      <c r="G41" s="734"/>
      <c r="H41" s="734"/>
      <c r="I41" s="258">
        <f>H41-G41</f>
        <v>0</v>
      </c>
      <c r="J41" s="576" t="str">
        <f>IF(I41=0,"",I41/H41)</f>
        <v/>
      </c>
      <c r="K41" s="736"/>
    </row>
    <row r="42" spans="1:11" ht="12.75" customHeight="1" x14ac:dyDescent="0.25">
      <c r="A42" s="575" t="s">
        <v>1255</v>
      </c>
      <c r="B42" s="169"/>
      <c r="C42" s="749"/>
      <c r="D42" s="746"/>
      <c r="E42" s="734"/>
      <c r="F42" s="734"/>
      <c r="G42" s="734"/>
      <c r="H42" s="734"/>
      <c r="I42" s="258">
        <f>H42-G42</f>
        <v>0</v>
      </c>
      <c r="J42" s="576" t="str">
        <f>IF(I42=0,"",I42/H42)</f>
        <v/>
      </c>
      <c r="K42" s="736"/>
    </row>
    <row r="43" spans="1:11" ht="12.75" customHeight="1" x14ac:dyDescent="0.25">
      <c r="A43" s="575" t="s">
        <v>1256</v>
      </c>
      <c r="B43" s="169"/>
      <c r="C43" s="749"/>
      <c r="D43" s="746"/>
      <c r="E43" s="734"/>
      <c r="F43" s="734"/>
      <c r="G43" s="734"/>
      <c r="H43" s="734"/>
      <c r="I43" s="258">
        <f t="shared" si="8"/>
        <v>0</v>
      </c>
      <c r="J43" s="576" t="str">
        <f t="shared" si="9"/>
        <v/>
      </c>
      <c r="K43" s="736"/>
    </row>
    <row r="44" spans="1:11" ht="12.75" customHeight="1" x14ac:dyDescent="0.25">
      <c r="A44" s="575" t="s">
        <v>1228</v>
      </c>
      <c r="B44" s="169"/>
      <c r="C44" s="749"/>
      <c r="D44" s="746"/>
      <c r="E44" s="734"/>
      <c r="F44" s="734"/>
      <c r="G44" s="734"/>
      <c r="H44" s="734"/>
      <c r="I44" s="258">
        <f t="shared" si="8"/>
        <v>0</v>
      </c>
      <c r="J44" s="576" t="str">
        <f t="shared" si="9"/>
        <v/>
      </c>
      <c r="K44" s="736"/>
    </row>
    <row r="45" spans="1:11" ht="12.75" customHeight="1" x14ac:dyDescent="0.25">
      <c r="A45" s="517" t="s">
        <v>1257</v>
      </c>
      <c r="B45" s="169"/>
      <c r="C45" s="649">
        <f t="shared" ref="C45:H45" si="10">SUM(C46:C52)</f>
        <v>1247321</v>
      </c>
      <c r="D45" s="650">
        <f t="shared" si="10"/>
        <v>0</v>
      </c>
      <c r="E45" s="408">
        <f t="shared" si="10"/>
        <v>0</v>
      </c>
      <c r="F45" s="408">
        <f t="shared" si="10"/>
        <v>0</v>
      </c>
      <c r="G45" s="408">
        <f t="shared" si="10"/>
        <v>0</v>
      </c>
      <c r="H45" s="408">
        <f t="shared" si="10"/>
        <v>0</v>
      </c>
      <c r="I45" s="258">
        <f t="shared" ref="I45:I68" si="11">H45-G45</f>
        <v>0</v>
      </c>
      <c r="J45" s="576" t="str">
        <f t="shared" ref="J45:J68" si="12">IF(I45=0,"",I45/H45)</f>
        <v/>
      </c>
      <c r="K45" s="643">
        <f>SUM(K46:K52)</f>
        <v>0</v>
      </c>
    </row>
    <row r="46" spans="1:11" ht="12.75" customHeight="1" x14ac:dyDescent="0.25">
      <c r="A46" s="575" t="s">
        <v>1258</v>
      </c>
      <c r="B46" s="169"/>
      <c r="C46" s="749"/>
      <c r="D46" s="746"/>
      <c r="E46" s="734"/>
      <c r="F46" s="734"/>
      <c r="G46" s="734"/>
      <c r="H46" s="734"/>
      <c r="I46" s="258">
        <f t="shared" si="11"/>
        <v>0</v>
      </c>
      <c r="J46" s="576" t="str">
        <f t="shared" si="12"/>
        <v/>
      </c>
      <c r="K46" s="736"/>
    </row>
    <row r="47" spans="1:11" ht="12.75" customHeight="1" x14ac:dyDescent="0.25">
      <c r="A47" s="575" t="s">
        <v>1259</v>
      </c>
      <c r="B47" s="169"/>
      <c r="C47" s="749"/>
      <c r="D47" s="746"/>
      <c r="E47" s="734"/>
      <c r="F47" s="734"/>
      <c r="G47" s="734"/>
      <c r="H47" s="734"/>
      <c r="I47" s="258">
        <f t="shared" si="11"/>
        <v>0</v>
      </c>
      <c r="J47" s="576" t="str">
        <f t="shared" si="12"/>
        <v/>
      </c>
      <c r="K47" s="736"/>
    </row>
    <row r="48" spans="1:11" ht="12.75" customHeight="1" x14ac:dyDescent="0.25">
      <c r="A48" s="575" t="s">
        <v>1260</v>
      </c>
      <c r="B48" s="169"/>
      <c r="C48" s="749"/>
      <c r="D48" s="746"/>
      <c r="E48" s="734"/>
      <c r="F48" s="734"/>
      <c r="G48" s="734"/>
      <c r="H48" s="734"/>
      <c r="I48" s="258">
        <f>H48-G48</f>
        <v>0</v>
      </c>
      <c r="J48" s="576" t="str">
        <f>IF(I48=0,"",I48/H48)</f>
        <v/>
      </c>
      <c r="K48" s="736"/>
    </row>
    <row r="49" spans="1:11" ht="12.75" customHeight="1" x14ac:dyDescent="0.25">
      <c r="A49" s="575" t="s">
        <v>1261</v>
      </c>
      <c r="B49" s="169"/>
      <c r="C49" s="749"/>
      <c r="D49" s="746"/>
      <c r="E49" s="734"/>
      <c r="F49" s="734"/>
      <c r="G49" s="734"/>
      <c r="H49" s="734"/>
      <c r="I49" s="258">
        <f t="shared" si="11"/>
        <v>0</v>
      </c>
      <c r="J49" s="576" t="str">
        <f t="shared" si="12"/>
        <v/>
      </c>
      <c r="K49" s="736"/>
    </row>
    <row r="50" spans="1:11" ht="12.75" customHeight="1" x14ac:dyDescent="0.25">
      <c r="A50" s="575" t="s">
        <v>1262</v>
      </c>
      <c r="B50" s="169"/>
      <c r="C50" s="749"/>
      <c r="D50" s="746"/>
      <c r="E50" s="734"/>
      <c r="F50" s="734"/>
      <c r="G50" s="734"/>
      <c r="H50" s="734"/>
      <c r="I50" s="258">
        <f t="shared" si="11"/>
        <v>0</v>
      </c>
      <c r="J50" s="576" t="str">
        <f t="shared" si="12"/>
        <v/>
      </c>
      <c r="K50" s="736"/>
    </row>
    <row r="51" spans="1:11" ht="12.75" customHeight="1" x14ac:dyDescent="0.25">
      <c r="A51" s="575" t="s">
        <v>1263</v>
      </c>
      <c r="B51" s="169"/>
      <c r="C51" s="749"/>
      <c r="D51" s="746"/>
      <c r="E51" s="734"/>
      <c r="F51" s="734"/>
      <c r="G51" s="734"/>
      <c r="H51" s="734"/>
      <c r="I51" s="258">
        <f t="shared" si="11"/>
        <v>0</v>
      </c>
      <c r="J51" s="576" t="str">
        <f t="shared" si="12"/>
        <v/>
      </c>
      <c r="K51" s="736"/>
    </row>
    <row r="52" spans="1:11" ht="12.75" customHeight="1" x14ac:dyDescent="0.25">
      <c r="A52" s="575" t="s">
        <v>1228</v>
      </c>
      <c r="B52" s="169"/>
      <c r="C52" s="749">
        <v>1247321</v>
      </c>
      <c r="D52" s="746"/>
      <c r="E52" s="734"/>
      <c r="F52" s="734"/>
      <c r="G52" s="734"/>
      <c r="H52" s="734"/>
      <c r="I52" s="258">
        <f t="shared" si="11"/>
        <v>0</v>
      </c>
      <c r="J52" s="576" t="str">
        <f t="shared" si="12"/>
        <v/>
      </c>
      <c r="K52" s="736"/>
    </row>
    <row r="53" spans="1:11" ht="12.75" customHeight="1" x14ac:dyDescent="0.25">
      <c r="A53" s="518" t="s">
        <v>1264</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1265</v>
      </c>
      <c r="B54" s="169"/>
      <c r="C54" s="749"/>
      <c r="D54" s="746"/>
      <c r="E54" s="734"/>
      <c r="F54" s="734"/>
      <c r="G54" s="734"/>
      <c r="H54" s="734"/>
      <c r="I54" s="258">
        <f t="shared" si="11"/>
        <v>0</v>
      </c>
      <c r="J54" s="576" t="str">
        <f t="shared" si="12"/>
        <v/>
      </c>
      <c r="K54" s="736"/>
    </row>
    <row r="55" spans="1:11" ht="12.75" customHeight="1" x14ac:dyDescent="0.25">
      <c r="A55" s="575" t="s">
        <v>1266</v>
      </c>
      <c r="B55" s="169"/>
      <c r="C55" s="749"/>
      <c r="D55" s="746"/>
      <c r="E55" s="734"/>
      <c r="F55" s="734"/>
      <c r="G55" s="734"/>
      <c r="H55" s="734"/>
      <c r="I55" s="258">
        <f t="shared" si="11"/>
        <v>0</v>
      </c>
      <c r="J55" s="576" t="str">
        <f t="shared" si="12"/>
        <v/>
      </c>
      <c r="K55" s="736"/>
    </row>
    <row r="56" spans="1:11" ht="12.75" customHeight="1" x14ac:dyDescent="0.25">
      <c r="A56" s="575" t="s">
        <v>1267</v>
      </c>
      <c r="B56" s="169"/>
      <c r="C56" s="749"/>
      <c r="D56" s="746"/>
      <c r="E56" s="734"/>
      <c r="F56" s="734"/>
      <c r="G56" s="734"/>
      <c r="H56" s="734"/>
      <c r="I56" s="258">
        <f t="shared" si="11"/>
        <v>0</v>
      </c>
      <c r="J56" s="576" t="str">
        <f t="shared" si="12"/>
        <v/>
      </c>
      <c r="K56" s="736"/>
    </row>
    <row r="57" spans="1:11" ht="12.75" customHeight="1" x14ac:dyDescent="0.25">
      <c r="A57" s="575" t="s">
        <v>1230</v>
      </c>
      <c r="B57" s="169"/>
      <c r="C57" s="749"/>
      <c r="D57" s="746"/>
      <c r="E57" s="734"/>
      <c r="F57" s="734"/>
      <c r="G57" s="734"/>
      <c r="H57" s="734"/>
      <c r="I57" s="258">
        <f t="shared" si="11"/>
        <v>0</v>
      </c>
      <c r="J57" s="576" t="str">
        <f t="shared" si="12"/>
        <v/>
      </c>
      <c r="K57" s="736"/>
    </row>
    <row r="58" spans="1:11" ht="12.75" customHeight="1" x14ac:dyDescent="0.25">
      <c r="A58" s="575" t="s">
        <v>1231</v>
      </c>
      <c r="B58" s="169"/>
      <c r="C58" s="749"/>
      <c r="D58" s="746"/>
      <c r="E58" s="734"/>
      <c r="F58" s="734"/>
      <c r="G58" s="734"/>
      <c r="H58" s="734"/>
      <c r="I58" s="258">
        <f t="shared" si="11"/>
        <v>0</v>
      </c>
      <c r="J58" s="576" t="str">
        <f t="shared" si="12"/>
        <v/>
      </c>
      <c r="K58" s="736"/>
    </row>
    <row r="59" spans="1:11" ht="12.75" customHeight="1" x14ac:dyDescent="0.25">
      <c r="A59" s="575" t="s">
        <v>1232</v>
      </c>
      <c r="B59" s="169"/>
      <c r="C59" s="749"/>
      <c r="D59" s="746"/>
      <c r="E59" s="734"/>
      <c r="F59" s="734"/>
      <c r="G59" s="734"/>
      <c r="H59" s="734"/>
      <c r="I59" s="258">
        <f t="shared" si="11"/>
        <v>0</v>
      </c>
      <c r="J59" s="576" t="str">
        <f t="shared" si="12"/>
        <v/>
      </c>
      <c r="K59" s="736"/>
    </row>
    <row r="60" spans="1:11" ht="12.75" customHeight="1" x14ac:dyDescent="0.25">
      <c r="A60" s="575" t="s">
        <v>1238</v>
      </c>
      <c r="B60" s="169"/>
      <c r="C60" s="749"/>
      <c r="D60" s="746"/>
      <c r="E60" s="734"/>
      <c r="F60" s="734"/>
      <c r="G60" s="734"/>
      <c r="H60" s="734"/>
      <c r="I60" s="258">
        <f t="shared" si="11"/>
        <v>0</v>
      </c>
      <c r="J60" s="576" t="str">
        <f t="shared" si="12"/>
        <v/>
      </c>
      <c r="K60" s="736"/>
    </row>
    <row r="61" spans="1:11" ht="12.75" customHeight="1" x14ac:dyDescent="0.25">
      <c r="A61" s="575" t="s">
        <v>1241</v>
      </c>
      <c r="B61" s="169"/>
      <c r="C61" s="749"/>
      <c r="D61" s="746"/>
      <c r="E61" s="734"/>
      <c r="F61" s="734"/>
      <c r="G61" s="734"/>
      <c r="H61" s="734"/>
      <c r="I61" s="258">
        <f t="shared" si="11"/>
        <v>0</v>
      </c>
      <c r="J61" s="576" t="str">
        <f t="shared" si="12"/>
        <v/>
      </c>
      <c r="K61" s="736"/>
    </row>
    <row r="62" spans="1:11" ht="12.75" customHeight="1" x14ac:dyDescent="0.25">
      <c r="A62" s="575" t="s">
        <v>1228</v>
      </c>
      <c r="B62" s="169"/>
      <c r="C62" s="749"/>
      <c r="D62" s="746"/>
      <c r="E62" s="734"/>
      <c r="F62" s="734"/>
      <c r="G62" s="734"/>
      <c r="H62" s="734"/>
      <c r="I62" s="258">
        <f t="shared" si="11"/>
        <v>0</v>
      </c>
      <c r="J62" s="576" t="str">
        <f t="shared" si="12"/>
        <v/>
      </c>
      <c r="K62" s="736"/>
    </row>
    <row r="63" spans="1:11" ht="12.75" customHeight="1" x14ac:dyDescent="0.25">
      <c r="A63" s="517" t="s">
        <v>1268</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1269</v>
      </c>
      <c r="B64" s="169"/>
      <c r="C64" s="749"/>
      <c r="D64" s="746"/>
      <c r="E64" s="734"/>
      <c r="F64" s="734"/>
      <c r="G64" s="734"/>
      <c r="H64" s="734"/>
      <c r="I64" s="258">
        <f t="shared" si="11"/>
        <v>0</v>
      </c>
      <c r="J64" s="576" t="str">
        <f t="shared" si="12"/>
        <v/>
      </c>
      <c r="K64" s="736"/>
    </row>
    <row r="65" spans="1:11" ht="12.75" customHeight="1" x14ac:dyDescent="0.25">
      <c r="A65" s="575" t="s">
        <v>1270</v>
      </c>
      <c r="B65" s="169"/>
      <c r="C65" s="749"/>
      <c r="D65" s="746"/>
      <c r="E65" s="734"/>
      <c r="F65" s="734"/>
      <c r="G65" s="734"/>
      <c r="H65" s="734"/>
      <c r="I65" s="258">
        <f t="shared" si="11"/>
        <v>0</v>
      </c>
      <c r="J65" s="576" t="str">
        <f t="shared" si="12"/>
        <v/>
      </c>
      <c r="K65" s="736"/>
    </row>
    <row r="66" spans="1:11" ht="12.75" customHeight="1" x14ac:dyDescent="0.25">
      <c r="A66" s="575" t="s">
        <v>1271</v>
      </c>
      <c r="B66" s="169"/>
      <c r="C66" s="749"/>
      <c r="D66" s="746"/>
      <c r="E66" s="734"/>
      <c r="F66" s="734"/>
      <c r="G66" s="734"/>
      <c r="H66" s="734"/>
      <c r="I66" s="258">
        <f t="shared" si="11"/>
        <v>0</v>
      </c>
      <c r="J66" s="576" t="str">
        <f t="shared" si="12"/>
        <v/>
      </c>
      <c r="K66" s="736"/>
    </row>
    <row r="67" spans="1:11" ht="12.75" customHeight="1" x14ac:dyDescent="0.25">
      <c r="A67" s="575" t="s">
        <v>1272</v>
      </c>
      <c r="B67" s="169"/>
      <c r="C67" s="749"/>
      <c r="D67" s="746"/>
      <c r="E67" s="734"/>
      <c r="F67" s="734"/>
      <c r="G67" s="734"/>
      <c r="H67" s="734"/>
      <c r="I67" s="258">
        <f t="shared" si="11"/>
        <v>0</v>
      </c>
      <c r="J67" s="576" t="str">
        <f t="shared" si="12"/>
        <v/>
      </c>
      <c r="K67" s="736"/>
    </row>
    <row r="68" spans="1:11" ht="12.75" customHeight="1" x14ac:dyDescent="0.25">
      <c r="A68" s="575" t="s">
        <v>1228</v>
      </c>
      <c r="B68" s="169"/>
      <c r="C68" s="749"/>
      <c r="D68" s="746"/>
      <c r="E68" s="734"/>
      <c r="F68" s="734"/>
      <c r="G68" s="734"/>
      <c r="H68" s="734"/>
      <c r="I68" s="258">
        <f t="shared" si="11"/>
        <v>0</v>
      </c>
      <c r="J68" s="576" t="str">
        <f t="shared" si="12"/>
        <v/>
      </c>
      <c r="K68" s="736"/>
    </row>
    <row r="69" spans="1:11" ht="12.75" customHeight="1" x14ac:dyDescent="0.25">
      <c r="A69" s="518" t="s">
        <v>1273</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1274</v>
      </c>
      <c r="B70" s="169"/>
      <c r="C70" s="749"/>
      <c r="D70" s="746"/>
      <c r="E70" s="734"/>
      <c r="F70" s="734"/>
      <c r="G70" s="734"/>
      <c r="H70" s="734"/>
      <c r="I70" s="258">
        <f>H70-G70</f>
        <v>0</v>
      </c>
      <c r="J70" s="576" t="str">
        <f t="shared" si="16"/>
        <v/>
      </c>
      <c r="K70" s="736"/>
    </row>
    <row r="71" spans="1:11" ht="12.75" customHeight="1" x14ac:dyDescent="0.25">
      <c r="A71" s="575" t="s">
        <v>1275</v>
      </c>
      <c r="B71" s="169"/>
      <c r="C71" s="749"/>
      <c r="D71" s="746"/>
      <c r="E71" s="734"/>
      <c r="F71" s="734"/>
      <c r="G71" s="734"/>
      <c r="H71" s="734"/>
      <c r="I71" s="258">
        <f>H71-G71</f>
        <v>0</v>
      </c>
      <c r="J71" s="576" t="str">
        <f t="shared" si="16"/>
        <v/>
      </c>
      <c r="K71" s="736"/>
    </row>
    <row r="72" spans="1:11" ht="12.75" customHeight="1" x14ac:dyDescent="0.25">
      <c r="A72" s="575" t="s">
        <v>1276</v>
      </c>
      <c r="B72" s="169"/>
      <c r="C72" s="749"/>
      <c r="D72" s="746"/>
      <c r="E72" s="734"/>
      <c r="F72" s="734"/>
      <c r="G72" s="734"/>
      <c r="H72" s="734"/>
      <c r="I72" s="258">
        <f>H72-G72</f>
        <v>0</v>
      </c>
      <c r="J72" s="576" t="str">
        <f t="shared" si="16"/>
        <v/>
      </c>
      <c r="K72" s="736"/>
    </row>
    <row r="73" spans="1:11" ht="12.75" customHeight="1" x14ac:dyDescent="0.25">
      <c r="A73" s="575" t="s">
        <v>1228</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1297</v>
      </c>
      <c r="B75" s="169"/>
      <c r="C75" s="577">
        <f t="shared" ref="C75:H75" si="17">+C76+C99</f>
        <v>0</v>
      </c>
      <c r="D75" s="578">
        <f t="shared" si="17"/>
        <v>0</v>
      </c>
      <c r="E75" s="579">
        <f t="shared" si="17"/>
        <v>0</v>
      </c>
      <c r="F75" s="579">
        <f t="shared" si="17"/>
        <v>0</v>
      </c>
      <c r="G75" s="579">
        <f t="shared" si="17"/>
        <v>0</v>
      </c>
      <c r="H75" s="579">
        <f t="shared" si="17"/>
        <v>0</v>
      </c>
      <c r="I75" s="579">
        <f>H75-G75</f>
        <v>0</v>
      </c>
      <c r="J75" s="580" t="str">
        <f t="shared" si="16"/>
        <v/>
      </c>
      <c r="K75" s="581">
        <f>+K76+K99</f>
        <v>0</v>
      </c>
    </row>
    <row r="76" spans="1:11" ht="12.75" customHeight="1" x14ac:dyDescent="0.25">
      <c r="A76" s="518" t="s">
        <v>1277</v>
      </c>
      <c r="B76" s="169"/>
      <c r="C76" s="649">
        <f t="shared" ref="C76:H76" si="18">SUM(C77:C98)</f>
        <v>0</v>
      </c>
      <c r="D76" s="650">
        <f t="shared" si="18"/>
        <v>0</v>
      </c>
      <c r="E76" s="408">
        <f t="shared" si="18"/>
        <v>0</v>
      </c>
      <c r="F76" s="408">
        <f t="shared" si="18"/>
        <v>0</v>
      </c>
      <c r="G76" s="408">
        <f t="shared" si="18"/>
        <v>0</v>
      </c>
      <c r="H76" s="408">
        <f t="shared" si="18"/>
        <v>0</v>
      </c>
      <c r="I76" s="258">
        <f t="shared" ref="I76:I87" si="19">H76-G76</f>
        <v>0</v>
      </c>
      <c r="J76" s="576" t="str">
        <f t="shared" ref="J76:J87" si="20">IF(I76=0,"",I76/H76)</f>
        <v/>
      </c>
      <c r="K76" s="643">
        <f>SUM(K77:K98)</f>
        <v>0</v>
      </c>
    </row>
    <row r="77" spans="1:11" ht="12.75" customHeight="1" x14ac:dyDescent="0.25">
      <c r="A77" s="575" t="s">
        <v>1278</v>
      </c>
      <c r="B77" s="169"/>
      <c r="C77" s="749"/>
      <c r="D77" s="754"/>
      <c r="E77" s="734"/>
      <c r="F77" s="734"/>
      <c r="G77" s="734"/>
      <c r="H77" s="734"/>
      <c r="I77" s="44">
        <f t="shared" si="19"/>
        <v>0</v>
      </c>
      <c r="J77" s="124" t="str">
        <f t="shared" si="20"/>
        <v/>
      </c>
      <c r="K77" s="736"/>
    </row>
    <row r="78" spans="1:11" ht="12.75" customHeight="1" x14ac:dyDescent="0.25">
      <c r="A78" s="575" t="s">
        <v>1279</v>
      </c>
      <c r="B78" s="169"/>
      <c r="C78" s="749"/>
      <c r="D78" s="754"/>
      <c r="E78" s="734"/>
      <c r="F78" s="734"/>
      <c r="G78" s="734"/>
      <c r="H78" s="734"/>
      <c r="I78" s="44">
        <f t="shared" si="19"/>
        <v>0</v>
      </c>
      <c r="J78" s="124" t="str">
        <f t="shared" si="20"/>
        <v/>
      </c>
      <c r="K78" s="736"/>
    </row>
    <row r="79" spans="1:11" ht="12.75" customHeight="1" x14ac:dyDescent="0.25">
      <c r="A79" s="575" t="s">
        <v>1280</v>
      </c>
      <c r="B79" s="169"/>
      <c r="C79" s="749"/>
      <c r="D79" s="754"/>
      <c r="E79" s="734"/>
      <c r="F79" s="734"/>
      <c r="G79" s="734"/>
      <c r="H79" s="734"/>
      <c r="I79" s="44">
        <f t="shared" si="19"/>
        <v>0</v>
      </c>
      <c r="J79" s="124" t="str">
        <f t="shared" si="20"/>
        <v/>
      </c>
      <c r="K79" s="736"/>
    </row>
    <row r="80" spans="1:11" ht="12.75" customHeight="1" x14ac:dyDescent="0.25">
      <c r="A80" s="575" t="s">
        <v>1281</v>
      </c>
      <c r="B80" s="169"/>
      <c r="C80" s="749"/>
      <c r="D80" s="754"/>
      <c r="E80" s="734"/>
      <c r="F80" s="734"/>
      <c r="G80" s="734"/>
      <c r="H80" s="734"/>
      <c r="I80" s="44">
        <f t="shared" si="19"/>
        <v>0</v>
      </c>
      <c r="J80" s="124" t="str">
        <f t="shared" si="20"/>
        <v/>
      </c>
      <c r="K80" s="736"/>
    </row>
    <row r="81" spans="1:11" ht="12.75" customHeight="1" x14ac:dyDescent="0.25">
      <c r="A81" s="575" t="s">
        <v>1282</v>
      </c>
      <c r="B81" s="169"/>
      <c r="C81" s="749"/>
      <c r="D81" s="754"/>
      <c r="E81" s="734"/>
      <c r="F81" s="734"/>
      <c r="G81" s="734"/>
      <c r="H81" s="734"/>
      <c r="I81" s="44">
        <f t="shared" si="19"/>
        <v>0</v>
      </c>
      <c r="J81" s="124" t="str">
        <f t="shared" si="20"/>
        <v/>
      </c>
      <c r="K81" s="736"/>
    </row>
    <row r="82" spans="1:11" ht="12.75" customHeight="1" x14ac:dyDescent="0.25">
      <c r="A82" s="575" t="s">
        <v>1283</v>
      </c>
      <c r="B82" s="169"/>
      <c r="C82" s="749"/>
      <c r="D82" s="754"/>
      <c r="E82" s="734"/>
      <c r="F82" s="734"/>
      <c r="G82" s="734"/>
      <c r="H82" s="734"/>
      <c r="I82" s="44">
        <f t="shared" si="19"/>
        <v>0</v>
      </c>
      <c r="J82" s="124" t="str">
        <f t="shared" si="20"/>
        <v/>
      </c>
      <c r="K82" s="736"/>
    </row>
    <row r="83" spans="1:11" ht="12.75" customHeight="1" x14ac:dyDescent="0.25">
      <c r="A83" s="575" t="s">
        <v>1284</v>
      </c>
      <c r="B83" s="169"/>
      <c r="C83" s="749"/>
      <c r="D83" s="754"/>
      <c r="E83" s="734"/>
      <c r="F83" s="734"/>
      <c r="G83" s="734"/>
      <c r="H83" s="734"/>
      <c r="I83" s="44">
        <f t="shared" si="19"/>
        <v>0</v>
      </c>
      <c r="J83" s="124" t="str">
        <f t="shared" si="20"/>
        <v/>
      </c>
      <c r="K83" s="736"/>
    </row>
    <row r="84" spans="1:11" ht="12.75" customHeight="1" x14ac:dyDescent="0.25">
      <c r="A84" s="575" t="s">
        <v>1285</v>
      </c>
      <c r="B84" s="169"/>
      <c r="C84" s="749"/>
      <c r="D84" s="754"/>
      <c r="E84" s="734"/>
      <c r="F84" s="734"/>
      <c r="G84" s="734"/>
      <c r="H84" s="734"/>
      <c r="I84" s="44">
        <f t="shared" si="19"/>
        <v>0</v>
      </c>
      <c r="J84" s="124" t="str">
        <f t="shared" si="20"/>
        <v/>
      </c>
      <c r="K84" s="736"/>
    </row>
    <row r="85" spans="1:11" ht="12.75" customHeight="1" x14ac:dyDescent="0.25">
      <c r="A85" s="575" t="s">
        <v>1161</v>
      </c>
      <c r="B85" s="169"/>
      <c r="C85" s="749"/>
      <c r="D85" s="754"/>
      <c r="E85" s="734"/>
      <c r="F85" s="734"/>
      <c r="G85" s="734"/>
      <c r="H85" s="734"/>
      <c r="I85" s="44">
        <f t="shared" si="19"/>
        <v>0</v>
      </c>
      <c r="J85" s="124" t="str">
        <f t="shared" si="20"/>
        <v/>
      </c>
      <c r="K85" s="736"/>
    </row>
    <row r="86" spans="1:11" ht="12.75" customHeight="1" x14ac:dyDescent="0.25">
      <c r="A86" s="575" t="s">
        <v>562</v>
      </c>
      <c r="B86" s="169"/>
      <c r="C86" s="749"/>
      <c r="D86" s="754"/>
      <c r="E86" s="734"/>
      <c r="F86" s="734"/>
      <c r="G86" s="734"/>
      <c r="H86" s="734"/>
      <c r="I86" s="44">
        <f t="shared" si="19"/>
        <v>0</v>
      </c>
      <c r="J86" s="124" t="str">
        <f t="shared" si="20"/>
        <v/>
      </c>
      <c r="K86" s="736"/>
    </row>
    <row r="87" spans="1:11" ht="12.75" customHeight="1" x14ac:dyDescent="0.25">
      <c r="A87" s="575" t="s">
        <v>1286</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c r="E88" s="734"/>
      <c r="F88" s="734"/>
      <c r="G88" s="734"/>
      <c r="H88" s="734"/>
      <c r="I88" s="44">
        <f t="shared" ref="I88:I133" si="21">H88-G88</f>
        <v>0</v>
      </c>
      <c r="J88" s="124" t="str">
        <f t="shared" ref="J88:J119" si="22">IF(I88=0,"",I88/H88)</f>
        <v/>
      </c>
      <c r="K88" s="736"/>
    </row>
    <row r="89" spans="1:11" ht="12.75" customHeight="1" x14ac:dyDescent="0.25">
      <c r="A89" s="575" t="s">
        <v>1287</v>
      </c>
      <c r="B89" s="169"/>
      <c r="C89" s="749"/>
      <c r="D89" s="754"/>
      <c r="E89" s="734"/>
      <c r="F89" s="734"/>
      <c r="G89" s="734"/>
      <c r="H89" s="734"/>
      <c r="I89" s="44">
        <f t="shared" si="21"/>
        <v>0</v>
      </c>
      <c r="J89" s="124" t="str">
        <f t="shared" si="22"/>
        <v/>
      </c>
      <c r="K89" s="736"/>
    </row>
    <row r="90" spans="1:11" ht="12.75" customHeight="1" x14ac:dyDescent="0.25">
      <c r="A90" s="575" t="s">
        <v>1288</v>
      </c>
      <c r="B90" s="169"/>
      <c r="C90" s="749"/>
      <c r="D90" s="754"/>
      <c r="E90" s="734"/>
      <c r="F90" s="734"/>
      <c r="G90" s="734"/>
      <c r="H90" s="734"/>
      <c r="I90" s="44">
        <f t="shared" si="21"/>
        <v>0</v>
      </c>
      <c r="J90" s="124" t="str">
        <f t="shared" si="22"/>
        <v/>
      </c>
      <c r="K90" s="736"/>
    </row>
    <row r="91" spans="1:11" ht="12.75" customHeight="1" x14ac:dyDescent="0.25">
      <c r="A91" s="575" t="s">
        <v>1289</v>
      </c>
      <c r="B91" s="169"/>
      <c r="C91" s="749"/>
      <c r="D91" s="754"/>
      <c r="E91" s="734"/>
      <c r="F91" s="734"/>
      <c r="G91" s="734"/>
      <c r="H91" s="734"/>
      <c r="I91" s="44">
        <f t="shared" si="21"/>
        <v>0</v>
      </c>
      <c r="J91" s="124" t="str">
        <f t="shared" si="22"/>
        <v/>
      </c>
      <c r="K91" s="736"/>
    </row>
    <row r="92" spans="1:11" ht="12.75" customHeight="1" x14ac:dyDescent="0.25">
      <c r="A92" s="575" t="s">
        <v>1290</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1291</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1292</v>
      </c>
      <c r="B96" s="169"/>
      <c r="C96" s="749"/>
      <c r="D96" s="754"/>
      <c r="E96" s="734"/>
      <c r="F96" s="734"/>
      <c r="G96" s="734"/>
      <c r="H96" s="734"/>
      <c r="I96" s="44">
        <f t="shared" si="21"/>
        <v>0</v>
      </c>
      <c r="J96" s="124" t="str">
        <f t="shared" si="22"/>
        <v/>
      </c>
      <c r="K96" s="736"/>
    </row>
    <row r="97" spans="1:11" ht="12.75" customHeight="1" x14ac:dyDescent="0.25">
      <c r="A97" s="575" t="s">
        <v>1293</v>
      </c>
      <c r="B97" s="169"/>
      <c r="C97" s="749"/>
      <c r="D97" s="754"/>
      <c r="E97" s="734"/>
      <c r="F97" s="734"/>
      <c r="G97" s="734"/>
      <c r="H97" s="734"/>
      <c r="I97" s="44">
        <f t="shared" si="21"/>
        <v>0</v>
      </c>
      <c r="J97" s="124" t="str">
        <f t="shared" si="22"/>
        <v/>
      </c>
      <c r="K97" s="736"/>
    </row>
    <row r="98" spans="1:11" ht="12.75" customHeight="1" x14ac:dyDescent="0.25">
      <c r="A98" s="575" t="s">
        <v>1228</v>
      </c>
      <c r="B98" s="169"/>
      <c r="C98" s="749"/>
      <c r="D98" s="754"/>
      <c r="E98" s="734"/>
      <c r="F98" s="734"/>
      <c r="G98" s="734"/>
      <c r="H98" s="734"/>
      <c r="I98" s="44">
        <f t="shared" si="21"/>
        <v>0</v>
      </c>
      <c r="J98" s="124" t="str">
        <f t="shared" si="22"/>
        <v/>
      </c>
      <c r="K98" s="736"/>
    </row>
    <row r="99" spans="1:11" ht="12.75" customHeight="1" x14ac:dyDescent="0.25">
      <c r="A99" s="518" t="s">
        <v>1294</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1295</v>
      </c>
      <c r="B100" s="169"/>
      <c r="C100" s="749"/>
      <c r="D100" s="754"/>
      <c r="E100" s="734"/>
      <c r="F100" s="734"/>
      <c r="G100" s="734"/>
      <c r="H100" s="734"/>
      <c r="I100" s="44">
        <f t="shared" si="21"/>
        <v>0</v>
      </c>
      <c r="J100" s="124" t="str">
        <f t="shared" si="22"/>
        <v/>
      </c>
      <c r="K100" s="736"/>
    </row>
    <row r="101" spans="1:11" ht="12.75" customHeight="1" x14ac:dyDescent="0.25">
      <c r="A101" s="575" t="s">
        <v>1296</v>
      </c>
      <c r="B101" s="169"/>
      <c r="C101" s="749"/>
      <c r="D101" s="754"/>
      <c r="E101" s="734"/>
      <c r="F101" s="734"/>
      <c r="G101" s="734"/>
      <c r="H101" s="734"/>
      <c r="I101" s="44">
        <f t="shared" si="21"/>
        <v>0</v>
      </c>
      <c r="J101" s="124" t="str">
        <f t="shared" si="22"/>
        <v/>
      </c>
      <c r="K101" s="736"/>
    </row>
    <row r="102" spans="1:11" ht="12.75" customHeight="1" x14ac:dyDescent="0.25">
      <c r="A102" s="575" t="s">
        <v>1228</v>
      </c>
      <c r="B102" s="169"/>
      <c r="C102" s="749"/>
      <c r="D102" s="754"/>
      <c r="E102" s="734"/>
      <c r="F102" s="734"/>
      <c r="G102" s="734"/>
      <c r="H102" s="734"/>
      <c r="I102" s="44">
        <f t="shared" si="21"/>
        <v>0</v>
      </c>
      <c r="J102" s="124" t="str">
        <f t="shared" si="22"/>
        <v/>
      </c>
      <c r="K102" s="736"/>
    </row>
    <row r="103" spans="1:11" ht="12.75" customHeight="1" x14ac:dyDescent="0.25">
      <c r="A103" s="550" t="s">
        <v>679</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1298</v>
      </c>
      <c r="B104" s="169"/>
      <c r="C104" s="785"/>
      <c r="D104" s="754"/>
      <c r="E104" s="734"/>
      <c r="F104" s="734"/>
      <c r="G104" s="734"/>
      <c r="H104" s="734"/>
      <c r="I104" s="44">
        <f t="shared" si="21"/>
        <v>0</v>
      </c>
      <c r="J104" s="124" t="str">
        <f t="shared" si="22"/>
        <v/>
      </c>
      <c r="K104" s="736"/>
    </row>
    <row r="105" spans="1:11" ht="12.75" customHeight="1" x14ac:dyDescent="0.25">
      <c r="A105" s="517" t="s">
        <v>1299</v>
      </c>
      <c r="B105" s="169"/>
      <c r="C105" s="785"/>
      <c r="D105" s="754"/>
      <c r="E105" s="734"/>
      <c r="F105" s="734"/>
      <c r="G105" s="734"/>
      <c r="H105" s="734"/>
      <c r="I105" s="44">
        <f t="shared" si="21"/>
        <v>0</v>
      </c>
      <c r="J105" s="124" t="str">
        <f t="shared" si="22"/>
        <v/>
      </c>
      <c r="K105" s="736"/>
    </row>
    <row r="106" spans="1:11" ht="12.75" customHeight="1" x14ac:dyDescent="0.25">
      <c r="A106" s="518" t="s">
        <v>1300</v>
      </c>
      <c r="B106" s="169"/>
      <c r="C106" s="785"/>
      <c r="D106" s="754"/>
      <c r="E106" s="734"/>
      <c r="F106" s="734"/>
      <c r="G106" s="734"/>
      <c r="H106" s="734"/>
      <c r="I106" s="44">
        <f t="shared" si="21"/>
        <v>0</v>
      </c>
      <c r="J106" s="124" t="str">
        <f t="shared" si="22"/>
        <v/>
      </c>
      <c r="K106" s="736"/>
    </row>
    <row r="107" spans="1:11" ht="12.75" customHeight="1" x14ac:dyDescent="0.25">
      <c r="A107" s="518" t="s">
        <v>1301</v>
      </c>
      <c r="B107" s="169"/>
      <c r="C107" s="785"/>
      <c r="D107" s="754"/>
      <c r="E107" s="734"/>
      <c r="F107" s="734"/>
      <c r="G107" s="734"/>
      <c r="H107" s="734"/>
      <c r="I107" s="44">
        <f t="shared" si="21"/>
        <v>0</v>
      </c>
      <c r="J107" s="124" t="str">
        <f t="shared" si="22"/>
        <v/>
      </c>
      <c r="K107" s="736"/>
    </row>
    <row r="108" spans="1:11" ht="12.75" customHeight="1" x14ac:dyDescent="0.25">
      <c r="A108" s="517" t="s">
        <v>1302</v>
      </c>
      <c r="B108" s="169"/>
      <c r="C108" s="785"/>
      <c r="D108" s="754"/>
      <c r="E108" s="734"/>
      <c r="F108" s="734"/>
      <c r="G108" s="734"/>
      <c r="H108" s="734"/>
      <c r="I108" s="44">
        <f t="shared" si="21"/>
        <v>0</v>
      </c>
      <c r="J108" s="124" t="str">
        <f t="shared" si="22"/>
        <v/>
      </c>
      <c r="K108" s="736"/>
    </row>
    <row r="109" spans="1:11" ht="5.0999999999999996" customHeight="1" x14ac:dyDescent="0.25">
      <c r="A109" s="940"/>
      <c r="B109" s="169"/>
      <c r="C109" s="134"/>
      <c r="D109" s="258"/>
      <c r="E109" s="44"/>
      <c r="F109" s="44"/>
      <c r="G109" s="44"/>
      <c r="H109" s="44"/>
      <c r="I109" s="44">
        <f t="shared" si="21"/>
        <v>0</v>
      </c>
      <c r="J109" s="124" t="str">
        <f t="shared" si="22"/>
        <v/>
      </c>
      <c r="K109" s="144"/>
    </row>
    <row r="110" spans="1:11" ht="12.75" customHeight="1" x14ac:dyDescent="0.25">
      <c r="A110" s="941" t="s">
        <v>680</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1303</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1304</v>
      </c>
      <c r="B112" s="169"/>
      <c r="C112" s="749"/>
      <c r="D112" s="754"/>
      <c r="E112" s="734"/>
      <c r="F112" s="734"/>
      <c r="G112" s="734"/>
      <c r="H112" s="734"/>
      <c r="I112" s="44">
        <f t="shared" si="21"/>
        <v>0</v>
      </c>
      <c r="J112" s="124" t="str">
        <f t="shared" si="22"/>
        <v/>
      </c>
      <c r="K112" s="736"/>
    </row>
    <row r="113" spans="1:11" ht="12.75" customHeight="1" x14ac:dyDescent="0.25">
      <c r="A113" s="575" t="s">
        <v>1305</v>
      </c>
      <c r="B113" s="169"/>
      <c r="C113" s="749"/>
      <c r="D113" s="754"/>
      <c r="E113" s="734"/>
      <c r="F113" s="734"/>
      <c r="G113" s="734"/>
      <c r="H113" s="734"/>
      <c r="I113" s="44">
        <f t="shared" si="21"/>
        <v>0</v>
      </c>
      <c r="J113" s="124" t="str">
        <f t="shared" si="22"/>
        <v/>
      </c>
      <c r="K113" s="736"/>
    </row>
    <row r="114" spans="1:11" ht="12.75" customHeight="1" x14ac:dyDescent="0.25">
      <c r="A114" s="518" t="s">
        <v>1306</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1304</v>
      </c>
      <c r="B115" s="169"/>
      <c r="C115" s="749"/>
      <c r="D115" s="754"/>
      <c r="E115" s="734"/>
      <c r="F115" s="734"/>
      <c r="G115" s="734"/>
      <c r="H115" s="734"/>
      <c r="I115" s="44">
        <f t="shared" si="21"/>
        <v>0</v>
      </c>
      <c r="J115" s="124" t="str">
        <f t="shared" si="22"/>
        <v/>
      </c>
      <c r="K115" s="736"/>
    </row>
    <row r="116" spans="1:11" ht="12.75" customHeight="1" x14ac:dyDescent="0.25">
      <c r="A116" s="575" t="s">
        <v>1305</v>
      </c>
      <c r="B116" s="169"/>
      <c r="C116" s="749"/>
      <c r="D116" s="754"/>
      <c r="E116" s="734"/>
      <c r="F116" s="734"/>
      <c r="G116" s="734"/>
      <c r="H116" s="734"/>
      <c r="I116" s="44">
        <f t="shared" si="21"/>
        <v>0</v>
      </c>
      <c r="J116" s="124" t="str">
        <f t="shared" si="22"/>
        <v/>
      </c>
      <c r="K116" s="736"/>
    </row>
    <row r="117" spans="1:11" ht="12.75" customHeight="1" x14ac:dyDescent="0.25">
      <c r="A117" s="941" t="s">
        <v>681</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1307</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1308</v>
      </c>
      <c r="B119" s="169"/>
      <c r="C119" s="749"/>
      <c r="D119" s="754"/>
      <c r="E119" s="734"/>
      <c r="F119" s="734"/>
      <c r="G119" s="734"/>
      <c r="H119" s="734"/>
      <c r="I119" s="44">
        <f t="shared" si="21"/>
        <v>0</v>
      </c>
      <c r="J119" s="124" t="str">
        <f t="shared" si="22"/>
        <v/>
      </c>
      <c r="K119" s="736"/>
    </row>
    <row r="120" spans="1:11" ht="12.75" customHeight="1" x14ac:dyDescent="0.25">
      <c r="A120" s="575" t="s">
        <v>1309</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1310</v>
      </c>
      <c r="B121" s="169"/>
      <c r="C121" s="749"/>
      <c r="D121" s="754"/>
      <c r="E121" s="734"/>
      <c r="F121" s="734"/>
      <c r="G121" s="734"/>
      <c r="H121" s="734"/>
      <c r="I121" s="44">
        <f t="shared" si="21"/>
        <v>0</v>
      </c>
      <c r="J121" s="124" t="str">
        <f t="shared" si="30"/>
        <v/>
      </c>
      <c r="K121" s="736"/>
    </row>
    <row r="122" spans="1:11" ht="12.75" customHeight="1" x14ac:dyDescent="0.25">
      <c r="A122" s="575" t="s">
        <v>1311</v>
      </c>
      <c r="B122" s="169"/>
      <c r="C122" s="749"/>
      <c r="D122" s="754"/>
      <c r="E122" s="734"/>
      <c r="F122" s="734"/>
      <c r="G122" s="734"/>
      <c r="H122" s="734"/>
      <c r="I122" s="44">
        <f t="shared" si="21"/>
        <v>0</v>
      </c>
      <c r="J122" s="124" t="str">
        <f t="shared" si="30"/>
        <v/>
      </c>
      <c r="K122" s="736"/>
    </row>
    <row r="123" spans="1:11" ht="12.75" customHeight="1" x14ac:dyDescent="0.25">
      <c r="A123" s="575" t="s">
        <v>1312</v>
      </c>
      <c r="B123" s="169"/>
      <c r="C123" s="749"/>
      <c r="D123" s="754"/>
      <c r="E123" s="734"/>
      <c r="F123" s="734"/>
      <c r="G123" s="734"/>
      <c r="H123" s="734"/>
      <c r="I123" s="44">
        <f t="shared" si="21"/>
        <v>0</v>
      </c>
      <c r="J123" s="124" t="str">
        <f t="shared" si="30"/>
        <v/>
      </c>
      <c r="K123" s="736"/>
    </row>
    <row r="124" spans="1:11" ht="12.75" customHeight="1" x14ac:dyDescent="0.25">
      <c r="A124" s="575" t="s">
        <v>1313</v>
      </c>
      <c r="B124" s="169"/>
      <c r="C124" s="749"/>
      <c r="D124" s="754"/>
      <c r="E124" s="734"/>
      <c r="F124" s="734"/>
      <c r="G124" s="734"/>
      <c r="H124" s="734"/>
      <c r="I124" s="44">
        <f t="shared" si="21"/>
        <v>0</v>
      </c>
      <c r="J124" s="124" t="str">
        <f t="shared" si="30"/>
        <v/>
      </c>
      <c r="K124" s="736"/>
    </row>
    <row r="125" spans="1:11" ht="12.75" customHeight="1" x14ac:dyDescent="0.25">
      <c r="A125" s="575" t="s">
        <v>1314</v>
      </c>
      <c r="B125" s="169"/>
      <c r="C125" s="749"/>
      <c r="D125" s="754"/>
      <c r="E125" s="734"/>
      <c r="F125" s="734"/>
      <c r="G125" s="734"/>
      <c r="H125" s="734"/>
      <c r="I125" s="44">
        <f t="shared" si="21"/>
        <v>0</v>
      </c>
      <c r="J125" s="124" t="str">
        <f t="shared" si="30"/>
        <v/>
      </c>
      <c r="K125" s="736"/>
    </row>
    <row r="126" spans="1:11" ht="12.75" customHeight="1" x14ac:dyDescent="0.25">
      <c r="A126" s="575" t="s">
        <v>1315</v>
      </c>
      <c r="B126" s="169"/>
      <c r="C126" s="749"/>
      <c r="D126" s="754"/>
      <c r="E126" s="734"/>
      <c r="F126" s="734"/>
      <c r="G126" s="734"/>
      <c r="H126" s="734"/>
      <c r="I126" s="44">
        <f t="shared" si="21"/>
        <v>0</v>
      </c>
      <c r="J126" s="124" t="str">
        <f t="shared" si="30"/>
        <v/>
      </c>
      <c r="K126" s="736"/>
    </row>
    <row r="127" spans="1:11" ht="12.75" customHeight="1" x14ac:dyDescent="0.25">
      <c r="A127" s="575" t="s">
        <v>1316</v>
      </c>
      <c r="B127" s="169"/>
      <c r="C127" s="749"/>
      <c r="D127" s="754"/>
      <c r="E127" s="734"/>
      <c r="F127" s="734"/>
      <c r="G127" s="734"/>
      <c r="H127" s="734"/>
      <c r="I127" s="44">
        <f t="shared" si="21"/>
        <v>0</v>
      </c>
      <c r="J127" s="124" t="str">
        <f t="shared" si="30"/>
        <v/>
      </c>
      <c r="K127" s="736"/>
    </row>
    <row r="128" spans="1:11" ht="12.75" customHeight="1" x14ac:dyDescent="0.25">
      <c r="A128" s="575" t="s">
        <v>1317</v>
      </c>
      <c r="B128" s="169"/>
      <c r="C128" s="749"/>
      <c r="D128" s="754"/>
      <c r="E128" s="734"/>
      <c r="F128" s="734"/>
      <c r="G128" s="734"/>
      <c r="H128" s="734"/>
      <c r="I128" s="44">
        <f t="shared" si="21"/>
        <v>0</v>
      </c>
      <c r="J128" s="124" t="str">
        <f t="shared" si="30"/>
        <v/>
      </c>
      <c r="K128" s="736"/>
    </row>
    <row r="129" spans="1:11" ht="12.75" customHeight="1" x14ac:dyDescent="0.25">
      <c r="A129" s="575" t="s">
        <v>1228</v>
      </c>
      <c r="B129" s="169"/>
      <c r="C129" s="749"/>
      <c r="D129" s="754"/>
      <c r="E129" s="734"/>
      <c r="F129" s="734"/>
      <c r="G129" s="734"/>
      <c r="H129" s="734"/>
      <c r="I129" s="44">
        <f t="shared" si="21"/>
        <v>0</v>
      </c>
      <c r="J129" s="124" t="str">
        <f t="shared" si="30"/>
        <v/>
      </c>
      <c r="K129" s="736"/>
    </row>
    <row r="130" spans="1:11" ht="12.75" customHeight="1" x14ac:dyDescent="0.25">
      <c r="A130" s="518" t="s">
        <v>722</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1318</v>
      </c>
      <c r="B131" s="169"/>
      <c r="C131" s="749"/>
      <c r="D131" s="754"/>
      <c r="E131" s="734"/>
      <c r="F131" s="734"/>
      <c r="G131" s="734"/>
      <c r="H131" s="734"/>
      <c r="I131" s="44">
        <f t="shared" si="21"/>
        <v>0</v>
      </c>
      <c r="J131" s="124" t="str">
        <f t="shared" si="30"/>
        <v/>
      </c>
      <c r="K131" s="736"/>
    </row>
    <row r="132" spans="1:11" ht="12.75" customHeight="1" x14ac:dyDescent="0.25">
      <c r="A132" s="575" t="s">
        <v>1319</v>
      </c>
      <c r="B132" s="169"/>
      <c r="C132" s="749"/>
      <c r="D132" s="754"/>
      <c r="E132" s="734"/>
      <c r="F132" s="734"/>
      <c r="G132" s="734"/>
      <c r="H132" s="734"/>
      <c r="I132" s="44">
        <f t="shared" si="21"/>
        <v>0</v>
      </c>
      <c r="J132" s="124" t="str">
        <f t="shared" si="30"/>
        <v/>
      </c>
      <c r="K132" s="736"/>
    </row>
    <row r="133" spans="1:11" ht="12.75" customHeight="1" x14ac:dyDescent="0.25">
      <c r="A133" s="575" t="s">
        <v>1228</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1320</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1320</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1321</v>
      </c>
      <c r="B138" s="171"/>
      <c r="C138" s="942">
        <f t="shared" ref="C138:H138" si="33">SUM(C139:C140)</f>
        <v>0</v>
      </c>
      <c r="D138" s="943">
        <f t="shared" si="33"/>
        <v>1000000</v>
      </c>
      <c r="E138" s="944">
        <f t="shared" si="33"/>
        <v>1000000</v>
      </c>
      <c r="F138" s="944">
        <f t="shared" si="33"/>
        <v>0</v>
      </c>
      <c r="G138" s="944">
        <f t="shared" si="33"/>
        <v>0</v>
      </c>
      <c r="H138" s="944">
        <f t="shared" si="33"/>
        <v>0</v>
      </c>
      <c r="I138" s="944">
        <f t="shared" ref="I138:I146" si="34">H138-G138</f>
        <v>0</v>
      </c>
      <c r="J138" s="324" t="str">
        <f t="shared" si="30"/>
        <v/>
      </c>
      <c r="K138" s="945">
        <f>SUM(K139:K140)</f>
        <v>1000000</v>
      </c>
    </row>
    <row r="139" spans="1:11" ht="12.75" customHeight="1" x14ac:dyDescent="0.25">
      <c r="A139" s="517" t="s">
        <v>1322</v>
      </c>
      <c r="B139" s="169"/>
      <c r="C139" s="749"/>
      <c r="D139" s="754"/>
      <c r="E139" s="734"/>
      <c r="F139" s="734"/>
      <c r="G139" s="734"/>
      <c r="H139" s="734"/>
      <c r="I139" s="44">
        <f t="shared" si="34"/>
        <v>0</v>
      </c>
      <c r="J139" s="124" t="str">
        <f t="shared" si="30"/>
        <v/>
      </c>
      <c r="K139" s="736"/>
    </row>
    <row r="140" spans="1:11" ht="12.75" customHeight="1" x14ac:dyDescent="0.25">
      <c r="A140" s="517" t="s">
        <v>1323</v>
      </c>
      <c r="B140" s="169"/>
      <c r="C140" s="649">
        <f t="shared" ref="C140:H140" si="35">SUM(C141:C146)</f>
        <v>0</v>
      </c>
      <c r="D140" s="650">
        <f t="shared" si="35"/>
        <v>1000000</v>
      </c>
      <c r="E140" s="408">
        <f t="shared" si="35"/>
        <v>1000000</v>
      </c>
      <c r="F140" s="408">
        <f t="shared" si="35"/>
        <v>0</v>
      </c>
      <c r="G140" s="408">
        <f t="shared" si="35"/>
        <v>0</v>
      </c>
      <c r="H140" s="408">
        <f t="shared" si="35"/>
        <v>0</v>
      </c>
      <c r="I140" s="258">
        <f t="shared" si="34"/>
        <v>0</v>
      </c>
      <c r="J140" s="576" t="str">
        <f t="shared" si="30"/>
        <v/>
      </c>
      <c r="K140" s="643">
        <f>SUM(K141:K146)</f>
        <v>1000000</v>
      </c>
    </row>
    <row r="141" spans="1:11" ht="12.75" customHeight="1" x14ac:dyDescent="0.25">
      <c r="A141" s="575" t="s">
        <v>1324</v>
      </c>
      <c r="B141" s="169"/>
      <c r="C141" s="749"/>
      <c r="D141" s="754"/>
      <c r="E141" s="734"/>
      <c r="F141" s="734"/>
      <c r="G141" s="734"/>
      <c r="H141" s="734"/>
      <c r="I141" s="44">
        <f t="shared" si="34"/>
        <v>0</v>
      </c>
      <c r="J141" s="124" t="str">
        <f t="shared" si="30"/>
        <v/>
      </c>
      <c r="K141" s="736"/>
    </row>
    <row r="142" spans="1:11" ht="12.75" customHeight="1" x14ac:dyDescent="0.25">
      <c r="A142" s="575" t="s">
        <v>1325</v>
      </c>
      <c r="B142" s="169"/>
      <c r="C142" s="749"/>
      <c r="D142" s="754"/>
      <c r="E142" s="734"/>
      <c r="F142" s="734"/>
      <c r="G142" s="734"/>
      <c r="H142" s="734"/>
      <c r="I142" s="44">
        <f t="shared" si="34"/>
        <v>0</v>
      </c>
      <c r="J142" s="124" t="str">
        <f t="shared" si="30"/>
        <v/>
      </c>
      <c r="K142" s="736"/>
    </row>
    <row r="143" spans="1:11" ht="12.75" customHeight="1" x14ac:dyDescent="0.25">
      <c r="A143" s="575" t="s">
        <v>1326</v>
      </c>
      <c r="B143" s="169"/>
      <c r="C143" s="749"/>
      <c r="D143" s="754"/>
      <c r="E143" s="734"/>
      <c r="F143" s="734"/>
      <c r="G143" s="734"/>
      <c r="H143" s="734"/>
      <c r="I143" s="44">
        <f t="shared" si="34"/>
        <v>0</v>
      </c>
      <c r="J143" s="124" t="str">
        <f t="shared" si="30"/>
        <v/>
      </c>
      <c r="K143" s="736"/>
    </row>
    <row r="144" spans="1:11" ht="12.75" customHeight="1" x14ac:dyDescent="0.25">
      <c r="A144" s="575" t="s">
        <v>1327</v>
      </c>
      <c r="B144" s="169"/>
      <c r="C144" s="749"/>
      <c r="D144" s="754">
        <v>1000000</v>
      </c>
      <c r="E144" s="754">
        <v>1000000</v>
      </c>
      <c r="F144" s="734"/>
      <c r="G144" s="734"/>
      <c r="H144" s="734"/>
      <c r="I144" s="44">
        <f t="shared" si="34"/>
        <v>0</v>
      </c>
      <c r="J144" s="124" t="str">
        <f t="shared" si="30"/>
        <v/>
      </c>
      <c r="K144" s="736">
        <v>1000000</v>
      </c>
    </row>
    <row r="145" spans="1:12" ht="12.75" customHeight="1" x14ac:dyDescent="0.25">
      <c r="A145" s="575" t="s">
        <v>1328</v>
      </c>
      <c r="B145" s="169"/>
      <c r="C145" s="749"/>
      <c r="D145" s="754"/>
      <c r="E145" s="734"/>
      <c r="F145" s="734"/>
      <c r="G145" s="734"/>
      <c r="H145" s="734"/>
      <c r="I145" s="44">
        <f t="shared" si="34"/>
        <v>0</v>
      </c>
      <c r="J145" s="124" t="str">
        <f t="shared" si="30"/>
        <v/>
      </c>
      <c r="K145" s="736"/>
    </row>
    <row r="146" spans="1:12" ht="12.75" customHeight="1" x14ac:dyDescent="0.25">
      <c r="A146" s="575" t="s">
        <v>1329</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36">SUM(C149:C149)</f>
        <v>0</v>
      </c>
      <c r="D148" s="578">
        <f t="shared" si="36"/>
        <v>0</v>
      </c>
      <c r="E148" s="579">
        <f t="shared" si="36"/>
        <v>0</v>
      </c>
      <c r="F148" s="579">
        <f t="shared" si="36"/>
        <v>0</v>
      </c>
      <c r="G148" s="579">
        <f t="shared" si="36"/>
        <v>0</v>
      </c>
      <c r="H148" s="579">
        <f t="shared" si="36"/>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37">SUM(C152:C152)</f>
        <v>10086850</v>
      </c>
      <c r="D151" s="578">
        <f t="shared" si="37"/>
        <v>235000</v>
      </c>
      <c r="E151" s="579">
        <f t="shared" si="37"/>
        <v>235000</v>
      </c>
      <c r="F151" s="579">
        <f t="shared" si="37"/>
        <v>0</v>
      </c>
      <c r="G151" s="579">
        <f t="shared" si="37"/>
        <v>0</v>
      </c>
      <c r="H151" s="579">
        <f t="shared" si="37"/>
        <v>0</v>
      </c>
      <c r="I151" s="579">
        <f>H151-G151</f>
        <v>0</v>
      </c>
      <c r="J151" s="324" t="str">
        <f>IF(I151=0,"",I151/H151)</f>
        <v/>
      </c>
      <c r="K151" s="581">
        <f>SUM(K152)</f>
        <v>235000</v>
      </c>
    </row>
    <row r="152" spans="1:12" ht="12.75" customHeight="1" x14ac:dyDescent="0.25">
      <c r="A152" s="518" t="s">
        <v>1331</v>
      </c>
      <c r="B152" s="169"/>
      <c r="C152" s="749">
        <v>10086850</v>
      </c>
      <c r="D152" s="754">
        <v>235000</v>
      </c>
      <c r="E152" s="754">
        <v>235000</v>
      </c>
      <c r="F152" s="734"/>
      <c r="G152" s="734"/>
      <c r="H152" s="734"/>
      <c r="I152" s="44">
        <f>H152-G152</f>
        <v>0</v>
      </c>
      <c r="J152" s="124" t="str">
        <f>IF(I152=0,"",I152/H152)</f>
        <v/>
      </c>
      <c r="K152" s="736">
        <v>235000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38">SUM(C155:C155)</f>
        <v>345882.60869565216</v>
      </c>
      <c r="D154" s="578">
        <f t="shared" si="38"/>
        <v>9285000</v>
      </c>
      <c r="E154" s="579">
        <f t="shared" si="38"/>
        <v>9285000</v>
      </c>
      <c r="F154" s="579">
        <f t="shared" si="38"/>
        <v>0</v>
      </c>
      <c r="G154" s="579">
        <f t="shared" si="38"/>
        <v>0</v>
      </c>
      <c r="H154" s="579">
        <f t="shared" si="38"/>
        <v>0</v>
      </c>
      <c r="I154" s="579">
        <f>H154-G154</f>
        <v>0</v>
      </c>
      <c r="J154" s="324" t="str">
        <f>IF(I154=0,"",I154/H154)</f>
        <v/>
      </c>
      <c r="K154" s="581">
        <f>SUM(K155)</f>
        <v>9285000</v>
      </c>
    </row>
    <row r="155" spans="1:12" ht="12.75" customHeight="1" x14ac:dyDescent="0.25">
      <c r="A155" s="518" t="s">
        <v>1332</v>
      </c>
      <c r="B155" s="169"/>
      <c r="C155" s="749">
        <v>345882.60869565216</v>
      </c>
      <c r="D155" s="754">
        <v>9285000</v>
      </c>
      <c r="E155" s="754">
        <v>9285000</v>
      </c>
      <c r="F155" s="734"/>
      <c r="G155" s="734"/>
      <c r="H155" s="734"/>
      <c r="I155" s="44">
        <f>H155-G155</f>
        <v>0</v>
      </c>
      <c r="J155" s="124" t="str">
        <f>IF(I155=0,"",I155/H155)</f>
        <v/>
      </c>
      <c r="K155" s="736">
        <v>9285000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9">SUM(C158:C158)</f>
        <v>3499900</v>
      </c>
      <c r="D157" s="578">
        <f t="shared" si="39"/>
        <v>1900000</v>
      </c>
      <c r="E157" s="579">
        <f t="shared" si="39"/>
        <v>1900000</v>
      </c>
      <c r="F157" s="579">
        <f t="shared" si="39"/>
        <v>0</v>
      </c>
      <c r="G157" s="579">
        <f t="shared" si="39"/>
        <v>0</v>
      </c>
      <c r="H157" s="579">
        <f t="shared" si="39"/>
        <v>0</v>
      </c>
      <c r="I157" s="579">
        <f>H157-G157</f>
        <v>0</v>
      </c>
      <c r="J157" s="324" t="str">
        <f>IF(I157=0,"",I157/H157)</f>
        <v/>
      </c>
      <c r="K157" s="581">
        <f>SUM(K158)</f>
        <v>1900000</v>
      </c>
    </row>
    <row r="158" spans="1:12" ht="12.75" customHeight="1" x14ac:dyDescent="0.25">
      <c r="A158" s="518" t="s">
        <v>1333</v>
      </c>
      <c r="B158" s="169"/>
      <c r="C158" s="749">
        <v>3499900</v>
      </c>
      <c r="D158" s="754">
        <v>1900000</v>
      </c>
      <c r="E158" s="754">
        <v>1900000</v>
      </c>
      <c r="F158" s="734"/>
      <c r="G158" s="734"/>
      <c r="H158" s="734"/>
      <c r="I158" s="44">
        <f>H158-G158</f>
        <v>0</v>
      </c>
      <c r="J158" s="124" t="str">
        <f>IF(I158=0,"",I158/H158)</f>
        <v/>
      </c>
      <c r="K158" s="736">
        <v>1900000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40">SUM(C161:C161)</f>
        <v>0</v>
      </c>
      <c r="D160" s="578">
        <f t="shared" si="40"/>
        <v>0</v>
      </c>
      <c r="E160" s="579">
        <f t="shared" si="40"/>
        <v>0</v>
      </c>
      <c r="F160" s="579">
        <f t="shared" si="40"/>
        <v>0</v>
      </c>
      <c r="G160" s="579">
        <f t="shared" si="40"/>
        <v>0</v>
      </c>
      <c r="H160" s="579">
        <f t="shared" si="40"/>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893</v>
      </c>
      <c r="B166" s="236">
        <v>1</v>
      </c>
      <c r="C166" s="112">
        <f t="shared" ref="C166:H166" si="42">C7+C75+C103+C110+C117+C135+C138+C148+C151+C154+C157+C160+C163</f>
        <v>85761279.608695656</v>
      </c>
      <c r="D166" s="271">
        <f t="shared" si="42"/>
        <v>69322421</v>
      </c>
      <c r="E166" s="55">
        <f t="shared" si="42"/>
        <v>69322421</v>
      </c>
      <c r="F166" s="55">
        <f t="shared" si="42"/>
        <v>6148623.1600000001</v>
      </c>
      <c r="G166" s="55">
        <f t="shared" si="42"/>
        <v>43556075.700000003</v>
      </c>
      <c r="H166" s="55">
        <f t="shared" si="42"/>
        <v>39687660</v>
      </c>
      <c r="I166" s="55">
        <f>H166-G166</f>
        <v>-3868415.700000003</v>
      </c>
      <c r="J166" s="290">
        <f>IF(I166=0,"",I166/H166)</f>
        <v>-9.7471498697580122E-2</v>
      </c>
      <c r="K166" s="235">
        <f>K7+K75+K103+K110+K117+K135+K138+K148+K151+K154+K157+K160+K163</f>
        <v>69322421</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C166+SC13b!C166+SC13e!C166-'C5-Capex'!C40</f>
        <v>-0.90130434930324554</v>
      </c>
      <c r="D171" s="135">
        <f>D166+SC13b!D166+SC13e!D166-'C5-Capex'!D40</f>
        <v>0</v>
      </c>
      <c r="E171" s="135">
        <f>E166+SC13b!E166+SC13e!E166-'C5-Capex'!E40</f>
        <v>0</v>
      </c>
      <c r="F171" s="135">
        <f>F166+SC13b!F166+SC13e!F166-'C5-Capex'!F40</f>
        <v>0</v>
      </c>
      <c r="G171" s="135">
        <f>G166+SC13b!G166+SC13e!G166-'C5-Capex'!G40</f>
        <v>0.10000000894069672</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5"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61" activePane="bottomRight" state="frozen"/>
      <selection pane="topRight"/>
      <selection pane="bottomLeft"/>
      <selection pane="bottomRight" activeCell="E171" sqref="E171"/>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"&amp;S71Sb&amp; " - "&amp;Head57</f>
        <v>LIM333 Greater Tzaneen - Supporting Table SC13b Consolidated Monthly Budget Statement - capital expenditure on renewal of existing assets by asset class - M06 December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895</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0</v>
      </c>
      <c r="D7" s="603">
        <f t="shared" si="0"/>
        <v>0</v>
      </c>
      <c r="E7" s="102">
        <f t="shared" si="0"/>
        <v>0</v>
      </c>
      <c r="F7" s="102">
        <f t="shared" si="0"/>
        <v>0</v>
      </c>
      <c r="G7" s="102">
        <f t="shared" si="0"/>
        <v>0</v>
      </c>
      <c r="H7" s="102">
        <f t="shared" si="0"/>
        <v>0</v>
      </c>
      <c r="I7" s="101">
        <f t="shared" ref="I7:I133" si="1">H7-G7</f>
        <v>0</v>
      </c>
      <c r="J7" s="580" t="str">
        <f t="shared" ref="J7:J136" si="2">IF(I7=0,"",I7/H7)</f>
        <v/>
      </c>
      <c r="K7" s="604">
        <f>K8+K13+K17+K27+K38+K45+K53+K63+K69</f>
        <v>0</v>
      </c>
    </row>
    <row r="8" spans="1:11" ht="12.75" customHeight="1" x14ac:dyDescent="0.25">
      <c r="A8" s="518" t="s">
        <v>1225</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c r="D24" s="746"/>
      <c r="E24" s="734"/>
      <c r="F24" s="734"/>
      <c r="G24" s="734"/>
      <c r="H24" s="734"/>
      <c r="I24" s="258">
        <f t="shared" si="1"/>
        <v>0</v>
      </c>
      <c r="J24" s="576" t="str">
        <f t="shared" si="2"/>
        <v/>
      </c>
      <c r="K24" s="736"/>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1307</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894</v>
      </c>
      <c r="B166" s="236">
        <v>1</v>
      </c>
      <c r="C166" s="112">
        <f t="shared" ref="C166:H166" si="33">C7+C75+C103+C110+C117+C135+C138+C148+C151+C154+C157+C160+C163</f>
        <v>0</v>
      </c>
      <c r="D166" s="271">
        <f t="shared" si="33"/>
        <v>0</v>
      </c>
      <c r="E166" s="55">
        <f t="shared" si="33"/>
        <v>0</v>
      </c>
      <c r="F166" s="55">
        <f t="shared" si="33"/>
        <v>0</v>
      </c>
      <c r="G166" s="55">
        <f t="shared" si="33"/>
        <v>0</v>
      </c>
      <c r="H166" s="55">
        <f t="shared" si="33"/>
        <v>0</v>
      </c>
      <c r="I166" s="55">
        <f>H166-G166</f>
        <v>0</v>
      </c>
      <c r="J166" s="290" t="str">
        <f>IF(I166=0,"",I166/H166)</f>
        <v/>
      </c>
      <c r="K166" s="235">
        <f>K7+K75+K103+K110+K117+K135+K138+K148+K151+K154+K157+K160+K163</f>
        <v>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1339</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C166+SC13a!C166+SC13e!C166-'C5-Capex'!C40</f>
        <v>-0.90130434930324554</v>
      </c>
      <c r="D171" s="135">
        <f>D166+SC13a!D166+SC13e!D166-'C5-Capex'!D40</f>
        <v>0</v>
      </c>
      <c r="E171" s="135">
        <f>E166+SC13a!E166+SC13e!E166-'C5-Capex'!E40</f>
        <v>0</v>
      </c>
      <c r="F171" s="135">
        <f>F166+SC13a!F166+SC13e!F166-'C5-Capex'!F40</f>
        <v>0</v>
      </c>
      <c r="G171" s="135">
        <f>G166+SC13a!G166+SC13e!G166-'C5-Capex'!G40</f>
        <v>0.10000000894069672</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5"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9" activePane="bottomRight" state="frozen"/>
      <selection pane="topRight"/>
      <selection pane="bottomLeft"/>
      <selection pane="bottomRight" activeCell="G163" sqref="G163"/>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"&amp;S71Sc&amp; " - "&amp;Head57</f>
        <v>LIM333 Greater Tzaneen - Supporting Table SC13c Consolidated Monthly Budget Statement - expenditure on repairs and maintenance by asset class - M06 December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36246919.259999998</v>
      </c>
      <c r="D7" s="603">
        <f t="shared" si="0"/>
        <v>46365972</v>
      </c>
      <c r="E7" s="102">
        <f t="shared" si="0"/>
        <v>33581540</v>
      </c>
      <c r="F7" s="102">
        <f t="shared" si="0"/>
        <v>2357192.29</v>
      </c>
      <c r="G7" s="102">
        <f t="shared" si="0"/>
        <v>14302637.630000001</v>
      </c>
      <c r="H7" s="102">
        <f t="shared" si="0"/>
        <v>19481453.310000002</v>
      </c>
      <c r="I7" s="101">
        <f t="shared" ref="I7:I166" si="1">H7-G7</f>
        <v>5178815.6800000016</v>
      </c>
      <c r="J7" s="580">
        <f t="shared" ref="J7:J166" si="2">IF(I7=0,"",I7/H7)</f>
        <v>0.26583312844230517</v>
      </c>
      <c r="K7" s="604">
        <f>K8+K13+K17+K27+K38+K45+K53+K63+K69</f>
        <v>46365972</v>
      </c>
    </row>
    <row r="8" spans="1:11" ht="12.75" customHeight="1" x14ac:dyDescent="0.25">
      <c r="A8" s="518" t="s">
        <v>1225</v>
      </c>
      <c r="B8" s="169"/>
      <c r="C8" s="678">
        <f t="shared" ref="C8:H8" si="3">SUM(C9:C12)</f>
        <v>20437803</v>
      </c>
      <c r="D8" s="610">
        <f t="shared" si="3"/>
        <v>21603000</v>
      </c>
      <c r="E8" s="609">
        <f t="shared" si="3"/>
        <v>14400000</v>
      </c>
      <c r="F8" s="609">
        <f t="shared" si="3"/>
        <v>1652677.12</v>
      </c>
      <c r="G8" s="609">
        <f t="shared" si="3"/>
        <v>6008973.1100000003</v>
      </c>
      <c r="H8" s="609">
        <f t="shared" si="3"/>
        <v>7799705.1600000001</v>
      </c>
      <c r="I8" s="258">
        <f t="shared" si="1"/>
        <v>1790732.0499999998</v>
      </c>
      <c r="J8" s="576">
        <f t="shared" si="2"/>
        <v>0.22958971054234054</v>
      </c>
      <c r="K8" s="611">
        <f>SUM(K9:K12)</f>
        <v>21603000</v>
      </c>
    </row>
    <row r="9" spans="1:11" ht="12.75" customHeight="1" x14ac:dyDescent="0.25">
      <c r="A9" s="575" t="s">
        <v>174</v>
      </c>
      <c r="B9" s="169"/>
      <c r="C9" s="749">
        <v>20437803</v>
      </c>
      <c r="D9" s="746">
        <v>21603000</v>
      </c>
      <c r="E9" s="746">
        <v>14400000</v>
      </c>
      <c r="F9" s="734">
        <v>1652677.12</v>
      </c>
      <c r="G9" s="734">
        <v>6008973.1100000003</v>
      </c>
      <c r="H9" s="734">
        <v>7799705.1600000001</v>
      </c>
      <c r="I9" s="258">
        <f t="shared" si="1"/>
        <v>1790732.0499999998</v>
      </c>
      <c r="J9" s="576">
        <f t="shared" si="2"/>
        <v>0.22958971054234054</v>
      </c>
      <c r="K9" s="736">
        <v>21603000</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857206</v>
      </c>
      <c r="D13" s="650">
        <f t="shared" si="4"/>
        <v>2530432</v>
      </c>
      <c r="E13" s="408">
        <f t="shared" si="4"/>
        <v>2000000</v>
      </c>
      <c r="F13" s="408">
        <f t="shared" si="4"/>
        <v>44444.34</v>
      </c>
      <c r="G13" s="408">
        <f t="shared" si="4"/>
        <v>94764.33</v>
      </c>
      <c r="H13" s="408">
        <f t="shared" si="4"/>
        <v>805390.15999999992</v>
      </c>
      <c r="I13" s="258">
        <f t="shared" si="1"/>
        <v>710625.83</v>
      </c>
      <c r="J13" s="576">
        <f t="shared" si="2"/>
        <v>0.88233736304898491</v>
      </c>
      <c r="K13" s="643">
        <f>SUM(K14:K16)</f>
        <v>2530432</v>
      </c>
    </row>
    <row r="14" spans="1:11" ht="12.75" customHeight="1" x14ac:dyDescent="0.25">
      <c r="A14" s="575" t="s">
        <v>1230</v>
      </c>
      <c r="B14" s="169"/>
      <c r="C14" s="749">
        <v>857206</v>
      </c>
      <c r="D14" s="746">
        <v>2530432</v>
      </c>
      <c r="E14" s="746">
        <v>2000000</v>
      </c>
      <c r="F14" s="734">
        <v>44444.34</v>
      </c>
      <c r="G14" s="734">
        <v>94764.33</v>
      </c>
      <c r="H14" s="734">
        <v>805390.15999999992</v>
      </c>
      <c r="I14" s="258">
        <f t="shared" si="1"/>
        <v>710625.83</v>
      </c>
      <c r="J14" s="576">
        <f t="shared" si="2"/>
        <v>0.88233736304898491</v>
      </c>
      <c r="K14" s="736">
        <v>2530432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14438550.26</v>
      </c>
      <c r="D17" s="650">
        <f t="shared" si="5"/>
        <v>21585640</v>
      </c>
      <c r="E17" s="408">
        <f t="shared" si="5"/>
        <v>16875640</v>
      </c>
      <c r="F17" s="408">
        <f t="shared" si="5"/>
        <v>660070.83000000007</v>
      </c>
      <c r="G17" s="408">
        <f t="shared" si="5"/>
        <v>8198900.1900000004</v>
      </c>
      <c r="H17" s="408">
        <f t="shared" si="5"/>
        <v>10377797.99</v>
      </c>
      <c r="I17" s="258">
        <f t="shared" si="1"/>
        <v>2178897.7999999998</v>
      </c>
      <c r="J17" s="576">
        <f t="shared" si="2"/>
        <v>0.20995762319709596</v>
      </c>
      <c r="K17" s="643">
        <f>SUM(K18:K26)</f>
        <v>21585640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13232143.24</v>
      </c>
      <c r="D24" s="746">
        <v>19661978</v>
      </c>
      <c r="E24" s="746">
        <v>15611978</v>
      </c>
      <c r="F24" s="734">
        <v>649491.65</v>
      </c>
      <c r="G24" s="734">
        <v>7934190.0800000001</v>
      </c>
      <c r="H24" s="734">
        <v>10208408.5</v>
      </c>
      <c r="I24" s="258">
        <f t="shared" si="1"/>
        <v>2274218.42</v>
      </c>
      <c r="J24" s="576">
        <f t="shared" si="2"/>
        <v>0.2227789395379309</v>
      </c>
      <c r="K24" s="736">
        <v>19661978</v>
      </c>
    </row>
    <row r="25" spans="1:11" ht="12.75" customHeight="1" x14ac:dyDescent="0.25">
      <c r="A25" s="575" t="s">
        <v>1241</v>
      </c>
      <c r="B25" s="169"/>
      <c r="C25" s="749">
        <v>844205.02</v>
      </c>
      <c r="D25" s="746">
        <v>301187</v>
      </c>
      <c r="E25" s="746">
        <v>301187</v>
      </c>
      <c r="F25" s="734">
        <v>0</v>
      </c>
      <c r="G25" s="734">
        <v>160037.20000000001</v>
      </c>
      <c r="H25" s="734">
        <v>169389.49</v>
      </c>
      <c r="I25" s="258">
        <f t="shared" si="1"/>
        <v>9352.289999999979</v>
      </c>
      <c r="J25" s="576">
        <f t="shared" si="2"/>
        <v>5.5211748969785431E-2</v>
      </c>
      <c r="K25" s="736">
        <v>301187</v>
      </c>
    </row>
    <row r="26" spans="1:11" ht="12.75" customHeight="1" x14ac:dyDescent="0.25">
      <c r="A26" s="575" t="s">
        <v>1228</v>
      </c>
      <c r="B26" s="169"/>
      <c r="C26" s="749">
        <v>362202</v>
      </c>
      <c r="D26" s="746">
        <v>1622475</v>
      </c>
      <c r="E26" s="746">
        <v>962475</v>
      </c>
      <c r="F26" s="734">
        <v>10579.18</v>
      </c>
      <c r="G26" s="734">
        <v>104672.91</v>
      </c>
      <c r="H26" s="734">
        <v>0</v>
      </c>
      <c r="I26" s="258">
        <f t="shared" si="1"/>
        <v>-104672.91</v>
      </c>
      <c r="J26" s="576" t="e">
        <f t="shared" si="2"/>
        <v>#DIV/0!</v>
      </c>
      <c r="K26" s="736">
        <v>1622475</v>
      </c>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54900</v>
      </c>
      <c r="E45" s="408">
        <f t="shared" si="8"/>
        <v>9900</v>
      </c>
      <c r="F45" s="408">
        <f t="shared" si="8"/>
        <v>0</v>
      </c>
      <c r="G45" s="408">
        <f t="shared" si="8"/>
        <v>0</v>
      </c>
      <c r="H45" s="408">
        <f t="shared" si="8"/>
        <v>0</v>
      </c>
      <c r="I45" s="258">
        <f t="shared" si="1"/>
        <v>0</v>
      </c>
      <c r="J45" s="576" t="str">
        <f t="shared" si="2"/>
        <v/>
      </c>
      <c r="K45" s="643">
        <f>SUM(K46:K52)</f>
        <v>54900</v>
      </c>
    </row>
    <row r="46" spans="1:11" ht="12.75" customHeight="1" x14ac:dyDescent="0.25">
      <c r="A46" s="575" t="s">
        <v>1258</v>
      </c>
      <c r="B46" s="169"/>
      <c r="C46" s="749"/>
      <c r="D46" s="746">
        <v>54900</v>
      </c>
      <c r="E46" s="746">
        <v>9900</v>
      </c>
      <c r="F46" s="734"/>
      <c r="G46" s="734"/>
      <c r="H46" s="734"/>
      <c r="I46" s="258">
        <f t="shared" si="1"/>
        <v>0</v>
      </c>
      <c r="J46" s="576" t="str">
        <f t="shared" si="2"/>
        <v/>
      </c>
      <c r="K46" s="736">
        <v>54900</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513360</v>
      </c>
      <c r="D53" s="650">
        <f t="shared" si="9"/>
        <v>592000</v>
      </c>
      <c r="E53" s="408">
        <f t="shared" si="9"/>
        <v>296000</v>
      </c>
      <c r="F53" s="408">
        <f t="shared" si="9"/>
        <v>0</v>
      </c>
      <c r="G53" s="408">
        <f t="shared" si="9"/>
        <v>0</v>
      </c>
      <c r="H53" s="408">
        <f t="shared" si="9"/>
        <v>498560</v>
      </c>
      <c r="I53" s="258">
        <f t="shared" si="1"/>
        <v>498560</v>
      </c>
      <c r="J53" s="576">
        <f t="shared" si="2"/>
        <v>1</v>
      </c>
      <c r="K53" s="643">
        <f>SUM(K54:K62)</f>
        <v>592000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v>513360</v>
      </c>
      <c r="D55" s="746">
        <v>592000</v>
      </c>
      <c r="E55" s="746">
        <v>296000</v>
      </c>
      <c r="F55" s="734"/>
      <c r="G55" s="734"/>
      <c r="H55" s="734">
        <v>498560</v>
      </c>
      <c r="I55" s="258">
        <f t="shared" si="1"/>
        <v>498560</v>
      </c>
      <c r="J55" s="576">
        <f t="shared" si="2"/>
        <v>1</v>
      </c>
      <c r="K55" s="736">
        <v>592000</v>
      </c>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1555268.42</v>
      </c>
      <c r="D117" s="578">
        <f t="shared" si="19"/>
        <v>2301306</v>
      </c>
      <c r="E117" s="579">
        <f t="shared" si="19"/>
        <v>1463363</v>
      </c>
      <c r="F117" s="579">
        <f t="shared" si="19"/>
        <v>18999.900000000001</v>
      </c>
      <c r="G117" s="579">
        <f t="shared" si="19"/>
        <v>638882.07000000007</v>
      </c>
      <c r="H117" s="579">
        <f t="shared" si="19"/>
        <v>571685.34</v>
      </c>
      <c r="I117" s="579">
        <f t="shared" si="1"/>
        <v>-67196.730000000098</v>
      </c>
      <c r="J117" s="580">
        <f t="shared" si="2"/>
        <v>-0.11754146083228249</v>
      </c>
      <c r="K117" s="581">
        <f>+K118+K130</f>
        <v>2301306</v>
      </c>
    </row>
    <row r="118" spans="1:11" ht="12.75" customHeight="1" x14ac:dyDescent="0.25">
      <c r="A118" s="518" t="s">
        <v>1307</v>
      </c>
      <c r="B118" s="169"/>
      <c r="C118" s="649">
        <f t="shared" ref="C118:H118" si="20">SUM(C119:C129)</f>
        <v>1555268.42</v>
      </c>
      <c r="D118" s="650">
        <f t="shared" si="20"/>
        <v>2301306</v>
      </c>
      <c r="E118" s="408">
        <f t="shared" si="20"/>
        <v>1463363</v>
      </c>
      <c r="F118" s="408">
        <f t="shared" si="20"/>
        <v>18999.900000000001</v>
      </c>
      <c r="G118" s="408">
        <f t="shared" si="20"/>
        <v>638882.07000000007</v>
      </c>
      <c r="H118" s="408">
        <f t="shared" si="20"/>
        <v>571685.34</v>
      </c>
      <c r="I118" s="258">
        <f t="shared" si="1"/>
        <v>-67196.730000000098</v>
      </c>
      <c r="J118" s="576">
        <f t="shared" si="2"/>
        <v>-0.11754146083228249</v>
      </c>
      <c r="K118" s="643">
        <f>SUM(K119:K129)</f>
        <v>2301306</v>
      </c>
    </row>
    <row r="119" spans="1:11" ht="12.75" customHeight="1" x14ac:dyDescent="0.25">
      <c r="A119" s="575" t="s">
        <v>1308</v>
      </c>
      <c r="B119" s="169"/>
      <c r="C119" s="749">
        <v>1381593.42</v>
      </c>
      <c r="D119" s="754">
        <v>1941345</v>
      </c>
      <c r="E119" s="754">
        <v>1245856</v>
      </c>
      <c r="F119" s="734">
        <v>18999.900000000001</v>
      </c>
      <c r="G119" s="734">
        <v>638882.07000000007</v>
      </c>
      <c r="H119" s="734">
        <v>569935.34</v>
      </c>
      <c r="I119" s="44">
        <f t="shared" si="1"/>
        <v>-68946.730000000098</v>
      </c>
      <c r="J119" s="124">
        <f t="shared" si="2"/>
        <v>-0.12097289843440855</v>
      </c>
      <c r="K119" s="736">
        <v>1941345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v>173675</v>
      </c>
      <c r="D123" s="754">
        <v>359961</v>
      </c>
      <c r="E123" s="754">
        <v>217507</v>
      </c>
      <c r="F123" s="734"/>
      <c r="G123" s="734"/>
      <c r="H123" s="734">
        <v>1750</v>
      </c>
      <c r="I123" s="44">
        <f t="shared" si="1"/>
        <v>1750</v>
      </c>
      <c r="J123" s="124">
        <f t="shared" si="2"/>
        <v>1</v>
      </c>
      <c r="K123" s="736">
        <v>359961</v>
      </c>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207820.9</v>
      </c>
      <c r="D148" s="578">
        <f t="shared" si="27"/>
        <v>365000</v>
      </c>
      <c r="E148" s="579">
        <f t="shared" si="27"/>
        <v>205000</v>
      </c>
      <c r="F148" s="579">
        <f t="shared" si="27"/>
        <v>77553.77</v>
      </c>
      <c r="G148" s="579">
        <f t="shared" si="27"/>
        <v>408980.25</v>
      </c>
      <c r="H148" s="579">
        <f t="shared" si="27"/>
        <v>326411.19000000006</v>
      </c>
      <c r="I148" s="579">
        <f>H148-G148</f>
        <v>-82569.059999999939</v>
      </c>
      <c r="J148" s="324">
        <f>IF(I148=0,"",I148/H148)</f>
        <v>-0.25296026156456192</v>
      </c>
      <c r="K148" s="581">
        <f>SUM(K149)</f>
        <v>365000</v>
      </c>
    </row>
    <row r="149" spans="1:12" ht="12.75" customHeight="1" x14ac:dyDescent="0.25">
      <c r="A149" s="518" t="s">
        <v>1330</v>
      </c>
      <c r="B149" s="169"/>
      <c r="C149" s="749">
        <v>207820.9</v>
      </c>
      <c r="D149" s="754">
        <v>365000</v>
      </c>
      <c r="E149" s="754">
        <v>205000</v>
      </c>
      <c r="F149" s="734">
        <v>77553.77</v>
      </c>
      <c r="G149" s="734">
        <v>408980.25</v>
      </c>
      <c r="H149" s="734">
        <v>326411.19000000006</v>
      </c>
      <c r="I149" s="44">
        <f>H149-G149</f>
        <v>-82569.059999999939</v>
      </c>
      <c r="J149" s="124">
        <f>IF(I149=0,"",I149/H149)</f>
        <v>-0.25296026156456192</v>
      </c>
      <c r="K149" s="736">
        <v>365000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79675.37</v>
      </c>
      <c r="D151" s="578">
        <f t="shared" si="28"/>
        <v>13209770</v>
      </c>
      <c r="E151" s="579">
        <f t="shared" si="28"/>
        <v>13200343</v>
      </c>
      <c r="F151" s="579">
        <f t="shared" si="28"/>
        <v>35003.789999999994</v>
      </c>
      <c r="G151" s="579">
        <f t="shared" si="28"/>
        <v>580980.99</v>
      </c>
      <c r="H151" s="579">
        <f t="shared" si="28"/>
        <v>702889.29</v>
      </c>
      <c r="I151" s="579">
        <f>H151-G151</f>
        <v>121908.30000000005</v>
      </c>
      <c r="J151" s="324">
        <f>IF(I151=0,"",I151/H151)</f>
        <v>0.17343883558106291</v>
      </c>
      <c r="K151" s="581">
        <f>SUM(K152)</f>
        <v>13209770</v>
      </c>
    </row>
    <row r="152" spans="1:12" ht="12.75" customHeight="1" x14ac:dyDescent="0.25">
      <c r="A152" s="518" t="s">
        <v>1331</v>
      </c>
      <c r="B152" s="169"/>
      <c r="C152" s="749">
        <v>79675.37</v>
      </c>
      <c r="D152" s="754">
        <v>13209770</v>
      </c>
      <c r="E152" s="754">
        <v>13200343</v>
      </c>
      <c r="F152" s="734">
        <v>35003.789999999994</v>
      </c>
      <c r="G152" s="734">
        <v>580980.99</v>
      </c>
      <c r="H152" s="734">
        <v>702889.29</v>
      </c>
      <c r="I152" s="44">
        <f>H152-G152</f>
        <v>121908.30000000005</v>
      </c>
      <c r="J152" s="124">
        <f>IF(I152=0,"",I152/H152)</f>
        <v>0.17343883558106291</v>
      </c>
      <c r="K152" s="736">
        <v>13209770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159098</v>
      </c>
      <c r="D154" s="578">
        <f t="shared" si="29"/>
        <v>373860</v>
      </c>
      <c r="E154" s="579">
        <f t="shared" si="29"/>
        <v>104452</v>
      </c>
      <c r="F154" s="579">
        <f t="shared" si="29"/>
        <v>13507.12</v>
      </c>
      <c r="G154" s="579">
        <f t="shared" si="29"/>
        <v>322309.5</v>
      </c>
      <c r="H154" s="579">
        <f t="shared" si="29"/>
        <v>202263.69999999998</v>
      </c>
      <c r="I154" s="579">
        <f>H154-G154</f>
        <v>-120045.80000000002</v>
      </c>
      <c r="J154" s="324">
        <f>IF(I154=0,"",I154/H154)</f>
        <v>-0.59351134187696575</v>
      </c>
      <c r="K154" s="581">
        <f>SUM(K155)</f>
        <v>373860</v>
      </c>
    </row>
    <row r="155" spans="1:12" ht="12.75" customHeight="1" x14ac:dyDescent="0.25">
      <c r="A155" s="518" t="s">
        <v>1332</v>
      </c>
      <c r="B155" s="169"/>
      <c r="C155" s="749">
        <f>76119+82979</f>
        <v>159098</v>
      </c>
      <c r="D155" s="754">
        <v>373860</v>
      </c>
      <c r="E155" s="754">
        <v>104452</v>
      </c>
      <c r="F155" s="734">
        <v>13507.12</v>
      </c>
      <c r="G155" s="734">
        <v>322309.5</v>
      </c>
      <c r="H155" s="734">
        <v>202263.69999999998</v>
      </c>
      <c r="I155" s="44">
        <f>H155-G155</f>
        <v>-120045.80000000002</v>
      </c>
      <c r="J155" s="124">
        <f>IF(I155=0,"",I155/H155)</f>
        <v>-0.59351134187696575</v>
      </c>
      <c r="K155" s="736">
        <v>373860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3909148</v>
      </c>
      <c r="D157" s="578">
        <f t="shared" si="30"/>
        <v>8992340.8100000005</v>
      </c>
      <c r="E157" s="579">
        <f t="shared" si="30"/>
        <v>6413863.8100000005</v>
      </c>
      <c r="F157" s="579">
        <f t="shared" si="30"/>
        <v>1305818.8199999998</v>
      </c>
      <c r="G157" s="579">
        <f t="shared" si="30"/>
        <v>6552558.6399999997</v>
      </c>
      <c r="H157" s="579">
        <f t="shared" si="30"/>
        <v>7163350.1400000006</v>
      </c>
      <c r="I157" s="579">
        <f>H157-G157</f>
        <v>610791.50000000093</v>
      </c>
      <c r="J157" s="324">
        <f>IF(I157=0,"",I157/H157)</f>
        <v>8.5266179659340358E-2</v>
      </c>
      <c r="K157" s="581">
        <f>SUM(K158)</f>
        <v>8992340.8100000005</v>
      </c>
    </row>
    <row r="158" spans="1:12" ht="12.75" customHeight="1" x14ac:dyDescent="0.25">
      <c r="A158" s="518" t="s">
        <v>1333</v>
      </c>
      <c r="B158" s="169"/>
      <c r="C158" s="749">
        <v>3909148</v>
      </c>
      <c r="D158" s="754">
        <v>8992340.8100000005</v>
      </c>
      <c r="E158" s="754">
        <v>6413863.8100000005</v>
      </c>
      <c r="F158" s="734">
        <v>1305818.8199999998</v>
      </c>
      <c r="G158" s="734">
        <v>6552558.6399999997</v>
      </c>
      <c r="H158" s="734">
        <v>7163350.1400000006</v>
      </c>
      <c r="I158" s="44">
        <f>H158-G158</f>
        <v>610791.50000000093</v>
      </c>
      <c r="J158" s="124">
        <f>IF(I158=0,"",I158/H158)</f>
        <v>8.5266179659340358E-2</v>
      </c>
      <c r="K158" s="736">
        <v>8992340.8100000005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897</v>
      </c>
      <c r="B166" s="236">
        <v>1</v>
      </c>
      <c r="C166" s="112">
        <f t="shared" ref="C166:H166" si="33">C7+C75+C103+C110+C117+C135+C138+C148+C151+C154+C157+C160+C163</f>
        <v>42157929.949999996</v>
      </c>
      <c r="D166" s="271">
        <f t="shared" si="33"/>
        <v>71608248.810000002</v>
      </c>
      <c r="E166" s="55">
        <f t="shared" si="33"/>
        <v>54968561.810000002</v>
      </c>
      <c r="F166" s="55">
        <f t="shared" si="33"/>
        <v>3808075.69</v>
      </c>
      <c r="G166" s="55">
        <f t="shared" si="33"/>
        <v>22806349.080000002</v>
      </c>
      <c r="H166" s="55">
        <f t="shared" si="33"/>
        <v>28448052.970000003</v>
      </c>
      <c r="I166" s="55">
        <f t="shared" si="1"/>
        <v>5641703.8900000006</v>
      </c>
      <c r="J166" s="290">
        <f t="shared" si="2"/>
        <v>0.19831599357430471</v>
      </c>
      <c r="K166" s="235">
        <f>K7+K75+K103+K110+K117+K135+K138+K148+K151+K154+K157+K160+K163</f>
        <v>71608248.810000002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5"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9" activePane="bottomRight" state="frozen"/>
      <selection pane="topRight"/>
      <selection pane="bottomLeft"/>
      <selection pane="bottomRight" activeCell="G158" sqref="G158"/>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"&amp;S71Sd&amp; " - "&amp;Head57</f>
        <v>LIM333 Greater Tzaneen - Supporting Table SC13d Consolidated Monthly Budget Statement - depreciation by asset class - M06 December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1083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113752937.855</v>
      </c>
      <c r="D7" s="603">
        <f t="shared" si="0"/>
        <v>115170952.65000001</v>
      </c>
      <c r="E7" s="102">
        <f t="shared" si="0"/>
        <v>111080062.65000001</v>
      </c>
      <c r="F7" s="102">
        <f t="shared" si="0"/>
        <v>0</v>
      </c>
      <c r="G7" s="102">
        <f t="shared" si="0"/>
        <v>0</v>
      </c>
      <c r="H7" s="102">
        <f t="shared" si="0"/>
        <v>0</v>
      </c>
      <c r="I7" s="101">
        <f t="shared" ref="I7:I166" si="1">H7-G7</f>
        <v>0</v>
      </c>
      <c r="J7" s="580" t="str">
        <f t="shared" ref="J7:J166" si="2">IF(I7=0,"",I7/H7)</f>
        <v/>
      </c>
      <c r="K7" s="604">
        <f>K8+K13+K17+K27+K38+K45+K53+K63+K69</f>
        <v>115170952.65000001</v>
      </c>
    </row>
    <row r="8" spans="1:11" ht="12.75" customHeight="1" x14ac:dyDescent="0.25">
      <c r="A8" s="518" t="s">
        <v>1225</v>
      </c>
      <c r="B8" s="169"/>
      <c r="C8" s="678">
        <f t="shared" ref="C8:H8" si="3">SUM(C9:C12)</f>
        <v>72835447.430000007</v>
      </c>
      <c r="D8" s="610">
        <f t="shared" si="3"/>
        <v>67752233</v>
      </c>
      <c r="E8" s="609">
        <f t="shared" si="3"/>
        <v>63687851</v>
      </c>
      <c r="F8" s="609">
        <f t="shared" si="3"/>
        <v>0</v>
      </c>
      <c r="G8" s="609">
        <f t="shared" si="3"/>
        <v>0</v>
      </c>
      <c r="H8" s="609">
        <f t="shared" si="3"/>
        <v>0</v>
      </c>
      <c r="I8" s="258">
        <f t="shared" si="1"/>
        <v>0</v>
      </c>
      <c r="J8" s="576" t="str">
        <f t="shared" si="2"/>
        <v/>
      </c>
      <c r="K8" s="611">
        <f>SUM(K9:K12)</f>
        <v>67752233</v>
      </c>
    </row>
    <row r="9" spans="1:11" ht="12.75" customHeight="1" x14ac:dyDescent="0.25">
      <c r="A9" s="575" t="s">
        <v>174</v>
      </c>
      <c r="B9" s="169"/>
      <c r="C9" s="749">
        <v>72835447.430000007</v>
      </c>
      <c r="D9" s="746">
        <v>67752233</v>
      </c>
      <c r="E9" s="746">
        <v>63687851</v>
      </c>
      <c r="F9" s="734"/>
      <c r="G9" s="734"/>
      <c r="H9" s="734"/>
      <c r="I9" s="258">
        <f t="shared" si="1"/>
        <v>0</v>
      </c>
      <c r="J9" s="576" t="str">
        <f t="shared" si="2"/>
        <v/>
      </c>
      <c r="K9" s="736">
        <v>67752233</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2549909</v>
      </c>
      <c r="D13" s="650">
        <f t="shared" si="4"/>
        <v>2600332</v>
      </c>
      <c r="E13" s="408">
        <f t="shared" si="4"/>
        <v>2600332</v>
      </c>
      <c r="F13" s="408">
        <f t="shared" si="4"/>
        <v>0</v>
      </c>
      <c r="G13" s="408">
        <f t="shared" si="4"/>
        <v>0</v>
      </c>
      <c r="H13" s="408">
        <f t="shared" si="4"/>
        <v>0</v>
      </c>
      <c r="I13" s="258">
        <f t="shared" si="1"/>
        <v>0</v>
      </c>
      <c r="J13" s="576" t="str">
        <f t="shared" si="2"/>
        <v/>
      </c>
      <c r="K13" s="643">
        <f>SUM(K14:K16)</f>
        <v>2600332</v>
      </c>
    </row>
    <row r="14" spans="1:11" ht="12.75" customHeight="1" x14ac:dyDescent="0.25">
      <c r="A14" s="575" t="s">
        <v>1230</v>
      </c>
      <c r="B14" s="169"/>
      <c r="C14" s="749">
        <v>2549909</v>
      </c>
      <c r="D14" s="746">
        <v>2600332</v>
      </c>
      <c r="E14" s="746">
        <v>2600332</v>
      </c>
      <c r="F14" s="734"/>
      <c r="G14" s="734"/>
      <c r="H14" s="734"/>
      <c r="I14" s="258">
        <f t="shared" si="1"/>
        <v>0</v>
      </c>
      <c r="J14" s="576" t="str">
        <f t="shared" si="2"/>
        <v/>
      </c>
      <c r="K14" s="736">
        <v>2600332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36784923.359999999</v>
      </c>
      <c r="D17" s="650">
        <f t="shared" si="5"/>
        <v>43907132.650000013</v>
      </c>
      <c r="E17" s="408">
        <f t="shared" si="5"/>
        <v>43907132.650000013</v>
      </c>
      <c r="F17" s="408">
        <f t="shared" si="5"/>
        <v>0</v>
      </c>
      <c r="G17" s="408">
        <f t="shared" si="5"/>
        <v>0</v>
      </c>
      <c r="H17" s="408">
        <f t="shared" si="5"/>
        <v>0</v>
      </c>
      <c r="I17" s="258">
        <f t="shared" si="1"/>
        <v>0</v>
      </c>
      <c r="J17" s="576" t="str">
        <f t="shared" si="2"/>
        <v/>
      </c>
      <c r="K17" s="643">
        <f>SUM(K18:K26)</f>
        <v>43907132.650000013</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36784923.359999999</v>
      </c>
      <c r="D24" s="746">
        <v>43907132.650000013</v>
      </c>
      <c r="E24" s="746">
        <v>43907132.650000013</v>
      </c>
      <c r="F24" s="734"/>
      <c r="G24" s="734"/>
      <c r="H24" s="734"/>
      <c r="I24" s="258">
        <f t="shared" si="1"/>
        <v>0</v>
      </c>
      <c r="J24" s="576" t="str">
        <f t="shared" si="2"/>
        <v/>
      </c>
      <c r="K24" s="736">
        <v>43907132.650000013</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1582658.0649999999</v>
      </c>
      <c r="D45" s="650">
        <f t="shared" si="8"/>
        <v>911255</v>
      </c>
      <c r="E45" s="408">
        <f t="shared" si="8"/>
        <v>884747</v>
      </c>
      <c r="F45" s="408">
        <f t="shared" si="8"/>
        <v>0</v>
      </c>
      <c r="G45" s="408">
        <f t="shared" si="8"/>
        <v>0</v>
      </c>
      <c r="H45" s="408">
        <f t="shared" si="8"/>
        <v>0</v>
      </c>
      <c r="I45" s="258">
        <f t="shared" si="1"/>
        <v>0</v>
      </c>
      <c r="J45" s="576" t="str">
        <f t="shared" si="2"/>
        <v/>
      </c>
      <c r="K45" s="643">
        <f>SUM(K46:K52)</f>
        <v>911255</v>
      </c>
    </row>
    <row r="46" spans="1:11" ht="12.75" customHeight="1" x14ac:dyDescent="0.25">
      <c r="A46" s="575" t="s">
        <v>1258</v>
      </c>
      <c r="B46" s="169"/>
      <c r="C46" s="749">
        <v>1560648</v>
      </c>
      <c r="D46" s="746">
        <v>864256</v>
      </c>
      <c r="E46" s="746">
        <v>837748</v>
      </c>
      <c r="F46" s="734"/>
      <c r="G46" s="734"/>
      <c r="H46" s="734"/>
      <c r="I46" s="258">
        <f t="shared" si="1"/>
        <v>0</v>
      </c>
      <c r="J46" s="576" t="str">
        <f t="shared" si="2"/>
        <v/>
      </c>
      <c r="K46" s="736">
        <v>864256</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f>19175.065+2835</f>
        <v>22010.064999999999</v>
      </c>
      <c r="D52" s="746">
        <v>46999</v>
      </c>
      <c r="E52" s="746">
        <v>46999</v>
      </c>
      <c r="F52" s="734"/>
      <c r="G52" s="734"/>
      <c r="H52" s="734"/>
      <c r="I52" s="258">
        <f t="shared" si="1"/>
        <v>0</v>
      </c>
      <c r="J52" s="576" t="str">
        <f t="shared" si="2"/>
        <v/>
      </c>
      <c r="K52" s="736">
        <v>46999</v>
      </c>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4147810.2455391004</v>
      </c>
      <c r="D75" s="578">
        <f t="shared" si="12"/>
        <v>3448239</v>
      </c>
      <c r="E75" s="579">
        <f t="shared" si="12"/>
        <v>3448239</v>
      </c>
      <c r="F75" s="579">
        <f t="shared" si="12"/>
        <v>0</v>
      </c>
      <c r="G75" s="579">
        <f t="shared" si="12"/>
        <v>0</v>
      </c>
      <c r="H75" s="579">
        <f t="shared" si="12"/>
        <v>0</v>
      </c>
      <c r="I75" s="579">
        <f t="shared" si="1"/>
        <v>0</v>
      </c>
      <c r="J75" s="580" t="str">
        <f t="shared" si="2"/>
        <v/>
      </c>
      <c r="K75" s="581">
        <f>+K76+K99</f>
        <v>3448239</v>
      </c>
    </row>
    <row r="76" spans="1:11" ht="12.75" customHeight="1" x14ac:dyDescent="0.25">
      <c r="A76" s="518" t="s">
        <v>1277</v>
      </c>
      <c r="B76" s="169"/>
      <c r="C76" s="649">
        <f t="shared" ref="C76:H76" si="13">SUM(C77:C98)</f>
        <v>233322.50553910044</v>
      </c>
      <c r="D76" s="650">
        <f t="shared" si="13"/>
        <v>1920716</v>
      </c>
      <c r="E76" s="408">
        <f t="shared" si="13"/>
        <v>1920716</v>
      </c>
      <c r="F76" s="408">
        <f t="shared" si="13"/>
        <v>0</v>
      </c>
      <c r="G76" s="408">
        <f t="shared" si="13"/>
        <v>0</v>
      </c>
      <c r="H76" s="408">
        <f t="shared" si="13"/>
        <v>0</v>
      </c>
      <c r="I76" s="258">
        <f t="shared" si="1"/>
        <v>0</v>
      </c>
      <c r="J76" s="576" t="str">
        <f t="shared" si="2"/>
        <v/>
      </c>
      <c r="K76" s="643">
        <f>SUM(K77:K98)</f>
        <v>1920716</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v>7434.675698051853</v>
      </c>
      <c r="D83" s="754">
        <v>59491</v>
      </c>
      <c r="E83" s="754">
        <v>59491</v>
      </c>
      <c r="F83" s="734"/>
      <c r="G83" s="734"/>
      <c r="H83" s="734"/>
      <c r="I83" s="44">
        <f t="shared" si="1"/>
        <v>0</v>
      </c>
      <c r="J83" s="124" t="str">
        <f t="shared" si="2"/>
        <v/>
      </c>
      <c r="K83" s="736">
        <v>59491</v>
      </c>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v>47106.689841048574</v>
      </c>
      <c r="D86" s="754">
        <v>136470</v>
      </c>
      <c r="E86" s="754">
        <v>136470</v>
      </c>
      <c r="F86" s="734"/>
      <c r="G86" s="734"/>
      <c r="H86" s="734"/>
      <c r="I86" s="44">
        <f t="shared" si="1"/>
        <v>0</v>
      </c>
      <c r="J86" s="124" t="str">
        <f t="shared" si="2"/>
        <v/>
      </c>
      <c r="K86" s="736">
        <v>136470</v>
      </c>
    </row>
    <row r="87" spans="1:11" ht="12.75" customHeight="1" x14ac:dyDescent="0.25">
      <c r="A87" s="575" t="s">
        <v>1286</v>
      </c>
      <c r="B87" s="169"/>
      <c r="C87" s="749"/>
      <c r="D87" s="754">
        <v>54916</v>
      </c>
      <c r="E87" s="754">
        <v>54916</v>
      </c>
      <c r="F87" s="734"/>
      <c r="G87" s="734"/>
      <c r="H87" s="734"/>
      <c r="I87" s="44">
        <f t="shared" si="1"/>
        <v>0</v>
      </c>
      <c r="J87" s="124" t="str">
        <f t="shared" si="2"/>
        <v/>
      </c>
      <c r="K87" s="736">
        <v>54916</v>
      </c>
    </row>
    <row r="88" spans="1:11" ht="12.75" customHeight="1" x14ac:dyDescent="0.25">
      <c r="A88" s="575" t="s">
        <v>172</v>
      </c>
      <c r="B88" s="169"/>
      <c r="C88" s="749">
        <f>5874.67+24444.15</f>
        <v>30318.82</v>
      </c>
      <c r="D88" s="754">
        <v>26470</v>
      </c>
      <c r="E88" s="754">
        <v>26470</v>
      </c>
      <c r="F88" s="734"/>
      <c r="G88" s="734"/>
      <c r="H88" s="734"/>
      <c r="I88" s="44">
        <f t="shared" si="1"/>
        <v>0</v>
      </c>
      <c r="J88" s="124" t="str">
        <f t="shared" si="2"/>
        <v/>
      </c>
      <c r="K88" s="736">
        <v>26470</v>
      </c>
    </row>
    <row r="89" spans="1:11" ht="12.75" customHeight="1" x14ac:dyDescent="0.25">
      <c r="A89" s="575" t="s">
        <v>1287</v>
      </c>
      <c r="B89" s="169"/>
      <c r="C89" s="749"/>
      <c r="D89" s="754">
        <v>130865</v>
      </c>
      <c r="E89" s="754">
        <v>130865</v>
      </c>
      <c r="F89" s="734"/>
      <c r="G89" s="734"/>
      <c r="H89" s="734"/>
      <c r="I89" s="44">
        <f t="shared" si="1"/>
        <v>0</v>
      </c>
      <c r="J89" s="124" t="str">
        <f t="shared" si="2"/>
        <v/>
      </c>
      <c r="K89" s="736">
        <v>130865</v>
      </c>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v>148462.32</v>
      </c>
      <c r="D98" s="754">
        <v>1512504</v>
      </c>
      <c r="E98" s="754">
        <v>1512504</v>
      </c>
      <c r="F98" s="734"/>
      <c r="G98" s="734"/>
      <c r="H98" s="734"/>
      <c r="I98" s="44">
        <f t="shared" si="1"/>
        <v>0</v>
      </c>
      <c r="J98" s="124" t="str">
        <f t="shared" si="2"/>
        <v/>
      </c>
      <c r="K98" s="736">
        <v>1512504</v>
      </c>
    </row>
    <row r="99" spans="1:11" ht="12.75" customHeight="1" x14ac:dyDescent="0.25">
      <c r="A99" s="518" t="s">
        <v>1294</v>
      </c>
      <c r="B99" s="169"/>
      <c r="C99" s="649">
        <f t="shared" ref="C99:H99" si="14">SUM(C100:C102)</f>
        <v>3914487.7399999998</v>
      </c>
      <c r="D99" s="650">
        <f t="shared" si="14"/>
        <v>1527523</v>
      </c>
      <c r="E99" s="408">
        <f t="shared" si="14"/>
        <v>1527523</v>
      </c>
      <c r="F99" s="408">
        <f t="shared" si="14"/>
        <v>0</v>
      </c>
      <c r="G99" s="408">
        <f t="shared" si="14"/>
        <v>0</v>
      </c>
      <c r="H99" s="408">
        <f t="shared" si="14"/>
        <v>0</v>
      </c>
      <c r="I99" s="258">
        <f t="shared" si="1"/>
        <v>0</v>
      </c>
      <c r="J99" s="576" t="str">
        <f t="shared" si="2"/>
        <v/>
      </c>
      <c r="K99" s="643">
        <f>SUM(K100:K102)</f>
        <v>1527523</v>
      </c>
    </row>
    <row r="100" spans="1:11" ht="12.75" customHeight="1" x14ac:dyDescent="0.25">
      <c r="A100" s="575" t="s">
        <v>1295</v>
      </c>
      <c r="B100" s="169"/>
      <c r="C100" s="749">
        <f>3866138.21+48349.53</f>
        <v>3914487.7399999998</v>
      </c>
      <c r="D100" s="754">
        <v>1527523</v>
      </c>
      <c r="E100" s="754">
        <v>1527523</v>
      </c>
      <c r="F100" s="734"/>
      <c r="G100" s="734"/>
      <c r="H100" s="734"/>
      <c r="I100" s="44">
        <f t="shared" si="1"/>
        <v>0</v>
      </c>
      <c r="J100" s="124" t="str">
        <f t="shared" si="2"/>
        <v/>
      </c>
      <c r="K100" s="736">
        <v>1527523</v>
      </c>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2118959.5499999998</v>
      </c>
      <c r="D117" s="578">
        <f t="shared" si="19"/>
        <v>7086946.5</v>
      </c>
      <c r="E117" s="579">
        <f t="shared" si="19"/>
        <v>7086946.5</v>
      </c>
      <c r="F117" s="579">
        <f t="shared" si="19"/>
        <v>0</v>
      </c>
      <c r="G117" s="579">
        <f t="shared" si="19"/>
        <v>0</v>
      </c>
      <c r="H117" s="579">
        <f t="shared" si="19"/>
        <v>0</v>
      </c>
      <c r="I117" s="579">
        <f t="shared" si="1"/>
        <v>0</v>
      </c>
      <c r="J117" s="580" t="str">
        <f t="shared" si="2"/>
        <v/>
      </c>
      <c r="K117" s="581">
        <f>+K118+K130</f>
        <v>7086946.5</v>
      </c>
    </row>
    <row r="118" spans="1:11" ht="12.75" customHeight="1" x14ac:dyDescent="0.25">
      <c r="A118" s="518" t="s">
        <v>1307</v>
      </c>
      <c r="B118" s="169"/>
      <c r="C118" s="649">
        <f t="shared" ref="C118:H118" si="20">SUM(C119:C129)</f>
        <v>2118959.5499999998</v>
      </c>
      <c r="D118" s="650">
        <f t="shared" si="20"/>
        <v>7086946.5</v>
      </c>
      <c r="E118" s="408">
        <f t="shared" si="20"/>
        <v>7086946.5</v>
      </c>
      <c r="F118" s="408">
        <f t="shared" si="20"/>
        <v>0</v>
      </c>
      <c r="G118" s="408">
        <f t="shared" si="20"/>
        <v>0</v>
      </c>
      <c r="H118" s="408">
        <f t="shared" si="20"/>
        <v>0</v>
      </c>
      <c r="I118" s="258">
        <f t="shared" si="1"/>
        <v>0</v>
      </c>
      <c r="J118" s="576" t="str">
        <f t="shared" si="2"/>
        <v/>
      </c>
      <c r="K118" s="643">
        <f>SUM(K119:K129)</f>
        <v>7086946.5</v>
      </c>
    </row>
    <row r="119" spans="1:11" ht="12.75" customHeight="1" x14ac:dyDescent="0.25">
      <c r="A119" s="575" t="s">
        <v>1308</v>
      </c>
      <c r="B119" s="169"/>
      <c r="C119" s="749">
        <f>163281.48+1604485.33+349656.74</f>
        <v>2117423.5499999998</v>
      </c>
      <c r="D119" s="754">
        <v>7086946.5</v>
      </c>
      <c r="E119" s="754">
        <v>7086946.5</v>
      </c>
      <c r="F119" s="734"/>
      <c r="G119" s="734"/>
      <c r="H119" s="734"/>
      <c r="I119" s="44">
        <f t="shared" si="1"/>
        <v>0</v>
      </c>
      <c r="J119" s="124" t="str">
        <f t="shared" si="2"/>
        <v/>
      </c>
      <c r="K119" s="736">
        <v>7086946.5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v>1536</v>
      </c>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623269</v>
      </c>
      <c r="D138" s="943">
        <f t="shared" si="24"/>
        <v>737574</v>
      </c>
      <c r="E138" s="944">
        <f t="shared" si="24"/>
        <v>714951</v>
      </c>
      <c r="F138" s="944">
        <f t="shared" si="24"/>
        <v>0</v>
      </c>
      <c r="G138" s="944">
        <f t="shared" si="24"/>
        <v>0</v>
      </c>
      <c r="H138" s="944">
        <f t="shared" si="24"/>
        <v>0</v>
      </c>
      <c r="I138" s="944">
        <f t="shared" ref="I138:I146" si="25">H138-G138</f>
        <v>0</v>
      </c>
      <c r="J138" s="324" t="str">
        <f t="shared" si="23"/>
        <v/>
      </c>
      <c r="K138" s="945">
        <f>SUM(K139:K140)</f>
        <v>737574</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623269</v>
      </c>
      <c r="D140" s="650">
        <f t="shared" si="26"/>
        <v>737574</v>
      </c>
      <c r="E140" s="408">
        <f t="shared" si="26"/>
        <v>714951</v>
      </c>
      <c r="F140" s="408">
        <f t="shared" si="26"/>
        <v>0</v>
      </c>
      <c r="G140" s="408">
        <f t="shared" si="26"/>
        <v>0</v>
      </c>
      <c r="H140" s="408">
        <f t="shared" si="26"/>
        <v>0</v>
      </c>
      <c r="I140" s="258">
        <f t="shared" si="25"/>
        <v>0</v>
      </c>
      <c r="J140" s="576" t="str">
        <f t="shared" si="23"/>
        <v/>
      </c>
      <c r="K140" s="643">
        <f>SUM(K141:K146)</f>
        <v>737574</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623269</v>
      </c>
      <c r="D144" s="749">
        <v>737574</v>
      </c>
      <c r="E144" s="749">
        <v>714951</v>
      </c>
      <c r="F144" s="734"/>
      <c r="G144" s="734"/>
      <c r="H144" s="734"/>
      <c r="I144" s="44">
        <f t="shared" si="25"/>
        <v>0</v>
      </c>
      <c r="J144" s="124" t="str">
        <f t="shared" si="23"/>
        <v/>
      </c>
      <c r="K144" s="736">
        <v>737574</v>
      </c>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1410398</v>
      </c>
      <c r="D148" s="578">
        <f t="shared" si="27"/>
        <v>839860</v>
      </c>
      <c r="E148" s="579">
        <f t="shared" si="27"/>
        <v>839860</v>
      </c>
      <c r="F148" s="579">
        <f t="shared" si="27"/>
        <v>0</v>
      </c>
      <c r="G148" s="579">
        <f t="shared" si="27"/>
        <v>0</v>
      </c>
      <c r="H148" s="579">
        <f t="shared" si="27"/>
        <v>0</v>
      </c>
      <c r="I148" s="579">
        <f>H148-G148</f>
        <v>0</v>
      </c>
      <c r="J148" s="324" t="str">
        <f>IF(I148=0,"",I148/H148)</f>
        <v/>
      </c>
      <c r="K148" s="581">
        <f>SUM(K149)</f>
        <v>839860</v>
      </c>
    </row>
    <row r="149" spans="1:12" ht="12.75" customHeight="1" x14ac:dyDescent="0.25">
      <c r="A149" s="518" t="s">
        <v>1330</v>
      </c>
      <c r="B149" s="169"/>
      <c r="C149" s="749">
        <f>709001+701397</f>
        <v>1410398</v>
      </c>
      <c r="D149" s="749">
        <v>839860</v>
      </c>
      <c r="E149" s="749">
        <v>839860</v>
      </c>
      <c r="F149" s="734"/>
      <c r="G149" s="734"/>
      <c r="H149" s="734"/>
      <c r="I149" s="44">
        <f>H149-G149</f>
        <v>0</v>
      </c>
      <c r="J149" s="124" t="str">
        <f>IF(I149=0,"",I149/H149)</f>
        <v/>
      </c>
      <c r="K149" s="736">
        <v>839860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2309239.77</v>
      </c>
      <c r="D151" s="578">
        <f t="shared" si="28"/>
        <v>1509576.35</v>
      </c>
      <c r="E151" s="579">
        <f t="shared" si="28"/>
        <v>1426576.35</v>
      </c>
      <c r="F151" s="579">
        <f t="shared" si="28"/>
        <v>0</v>
      </c>
      <c r="G151" s="579">
        <f t="shared" si="28"/>
        <v>0</v>
      </c>
      <c r="H151" s="579">
        <f t="shared" si="28"/>
        <v>0</v>
      </c>
      <c r="I151" s="579">
        <f>H151-G151</f>
        <v>0</v>
      </c>
      <c r="J151" s="324" t="str">
        <f>IF(I151=0,"",I151/H151)</f>
        <v/>
      </c>
      <c r="K151" s="581">
        <f>SUM(K152)</f>
        <v>1509576.35</v>
      </c>
    </row>
    <row r="152" spans="1:12" ht="12.75" customHeight="1" x14ac:dyDescent="0.25">
      <c r="A152" s="518" t="s">
        <v>1331</v>
      </c>
      <c r="B152" s="169"/>
      <c r="C152" s="749">
        <f>307506.65+300900.8+1700832.32</f>
        <v>2309239.77</v>
      </c>
      <c r="D152" s="749">
        <v>1509576.35</v>
      </c>
      <c r="E152" s="749">
        <v>1426576.35</v>
      </c>
      <c r="F152" s="734"/>
      <c r="G152" s="734"/>
      <c r="H152" s="734"/>
      <c r="I152" s="44">
        <f>H152-G152</f>
        <v>0</v>
      </c>
      <c r="J152" s="124" t="str">
        <f>IF(I152=0,"",I152/H152)</f>
        <v/>
      </c>
      <c r="K152" s="736">
        <v>1509576.35</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952524.59</v>
      </c>
      <c r="D154" s="578">
        <f t="shared" si="29"/>
        <v>976982</v>
      </c>
      <c r="E154" s="579">
        <f t="shared" si="29"/>
        <v>976982</v>
      </c>
      <c r="F154" s="579">
        <f t="shared" si="29"/>
        <v>0</v>
      </c>
      <c r="G154" s="579">
        <f t="shared" si="29"/>
        <v>0</v>
      </c>
      <c r="H154" s="579">
        <f t="shared" si="29"/>
        <v>0</v>
      </c>
      <c r="I154" s="579">
        <f>H154-G154</f>
        <v>0</v>
      </c>
      <c r="J154" s="324" t="str">
        <f>IF(I154=0,"",I154/H154)</f>
        <v/>
      </c>
      <c r="K154" s="581">
        <f>SUM(K155)</f>
        <v>976982</v>
      </c>
    </row>
    <row r="155" spans="1:12" ht="12.75" customHeight="1" x14ac:dyDescent="0.25">
      <c r="A155" s="518" t="s">
        <v>1332</v>
      </c>
      <c r="B155" s="169"/>
      <c r="C155" s="749">
        <f>943497.59+9027</f>
        <v>952524.59</v>
      </c>
      <c r="D155" s="749">
        <v>976982</v>
      </c>
      <c r="E155" s="749">
        <v>976982</v>
      </c>
      <c r="F155" s="734"/>
      <c r="G155" s="734"/>
      <c r="H155" s="734"/>
      <c r="I155" s="44">
        <f>H155-G155</f>
        <v>0</v>
      </c>
      <c r="J155" s="124" t="str">
        <f>IF(I155=0,"",I155/H155)</f>
        <v/>
      </c>
      <c r="K155" s="736">
        <v>976982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2408948.15</v>
      </c>
      <c r="D157" s="578">
        <f t="shared" si="30"/>
        <v>4427365.5</v>
      </c>
      <c r="E157" s="579">
        <f t="shared" si="30"/>
        <v>4426382.5</v>
      </c>
      <c r="F157" s="579">
        <f t="shared" si="30"/>
        <v>0</v>
      </c>
      <c r="G157" s="579">
        <f t="shared" si="30"/>
        <v>0</v>
      </c>
      <c r="H157" s="579">
        <f t="shared" si="30"/>
        <v>0</v>
      </c>
      <c r="I157" s="579">
        <f>H157-G157</f>
        <v>0</v>
      </c>
      <c r="J157" s="324" t="str">
        <f>IF(I157=0,"",I157/H157)</f>
        <v/>
      </c>
      <c r="K157" s="581">
        <f>SUM(K158)</f>
        <v>4427365.5</v>
      </c>
    </row>
    <row r="158" spans="1:12" ht="12.75" customHeight="1" x14ac:dyDescent="0.25">
      <c r="A158" s="518" t="s">
        <v>1333</v>
      </c>
      <c r="B158" s="169"/>
      <c r="C158" s="749">
        <f>1913618.15+495330</f>
        <v>2408948.15</v>
      </c>
      <c r="D158" s="749">
        <v>4427365.5</v>
      </c>
      <c r="E158" s="749">
        <v>4426382.5</v>
      </c>
      <c r="F158" s="734"/>
      <c r="G158" s="734"/>
      <c r="H158" s="734"/>
      <c r="I158" s="44">
        <f>H158-G158</f>
        <v>0</v>
      </c>
      <c r="J158" s="124" t="str">
        <f>IF(I158=0,"",I158/H158)</f>
        <v/>
      </c>
      <c r="K158" s="736">
        <v>4427365.5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1084</v>
      </c>
      <c r="B166" s="236">
        <v>1</v>
      </c>
      <c r="C166" s="112">
        <f t="shared" ref="C166:H166" si="33">C7+C75+C103+C110+C117+C135+C138+C148+C151+C154+C157+C160+C163</f>
        <v>127724087.16053911</v>
      </c>
      <c r="D166" s="271">
        <f t="shared" si="33"/>
        <v>134197496</v>
      </c>
      <c r="E166" s="55">
        <f t="shared" si="33"/>
        <v>130000000</v>
      </c>
      <c r="F166" s="55">
        <f t="shared" si="33"/>
        <v>0</v>
      </c>
      <c r="G166" s="55">
        <f t="shared" si="33"/>
        <v>0</v>
      </c>
      <c r="H166" s="55">
        <f t="shared" si="33"/>
        <v>0</v>
      </c>
      <c r="I166" s="55">
        <f t="shared" si="1"/>
        <v>0</v>
      </c>
      <c r="J166" s="290" t="str">
        <f t="shared" si="2"/>
        <v/>
      </c>
      <c r="K166" s="235">
        <f>K7+K75+K103+K110+K117+K135+K138+K148+K151+K154+K157+K160+K163</f>
        <v>134197496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55" activePane="bottomRight" state="frozen"/>
      <selection pane="topRight"/>
      <selection pane="bottomLeft"/>
      <selection pane="bottomRight" activeCell="H10" sqref="H1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"&amp;S71Se&amp; " - "&amp;Head57</f>
        <v>LIM333 Greater Tzaneen - Supporting Table SC13e Monthly Budget Statement - capital expenditure on upgrading of existing assets by asset class - M06 December</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1336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17531610</v>
      </c>
      <c r="D7" s="603">
        <f t="shared" si="0"/>
        <v>72647429</v>
      </c>
      <c r="E7" s="102">
        <f t="shared" si="0"/>
        <v>72647429</v>
      </c>
      <c r="F7" s="102">
        <f t="shared" si="0"/>
        <v>19166044.260000002</v>
      </c>
      <c r="G7" s="102">
        <f t="shared" si="0"/>
        <v>31069424.849999998</v>
      </c>
      <c r="H7" s="102">
        <f t="shared" si="0"/>
        <v>39852340</v>
      </c>
      <c r="I7" s="101">
        <f t="shared" ref="I7:I133" si="1">H7-G7</f>
        <v>8782915.1500000022</v>
      </c>
      <c r="J7" s="580">
        <f t="shared" ref="J7:J136" si="2">IF(I7=0,"",I7/H7)</f>
        <v>0.22038643527582075</v>
      </c>
      <c r="K7" s="604">
        <f>K8+K13+K17+K27+K38+K45+K53+K63+K69</f>
        <v>72647429</v>
      </c>
    </row>
    <row r="8" spans="1:11" ht="12.75" customHeight="1" x14ac:dyDescent="0.25">
      <c r="A8" s="518" t="s">
        <v>1225</v>
      </c>
      <c r="B8" s="169"/>
      <c r="C8" s="678">
        <f t="shared" ref="C8:H8" si="3">SUM(C9:C12)</f>
        <v>0</v>
      </c>
      <c r="D8" s="610">
        <f t="shared" si="3"/>
        <v>49147429</v>
      </c>
      <c r="E8" s="609">
        <f t="shared" si="3"/>
        <v>49147429</v>
      </c>
      <c r="F8" s="609">
        <f t="shared" si="3"/>
        <v>7704154.7799999993</v>
      </c>
      <c r="G8" s="609">
        <f t="shared" si="3"/>
        <v>17149039</v>
      </c>
      <c r="H8" s="609">
        <f t="shared" si="3"/>
        <v>24858740</v>
      </c>
      <c r="I8" s="258">
        <f t="shared" si="1"/>
        <v>7709701</v>
      </c>
      <c r="J8" s="576">
        <f t="shared" si="2"/>
        <v>0.31014045764185955</v>
      </c>
      <c r="K8" s="611">
        <f>SUM(K9:K12)</f>
        <v>49147429</v>
      </c>
    </row>
    <row r="9" spans="1:11" ht="12.75" customHeight="1" x14ac:dyDescent="0.25">
      <c r="A9" s="575" t="s">
        <v>174</v>
      </c>
      <c r="B9" s="169"/>
      <c r="C9" s="749"/>
      <c r="D9" s="746">
        <v>49147429</v>
      </c>
      <c r="E9" s="746">
        <v>49147429</v>
      </c>
      <c r="F9" s="734">
        <v>7704154.7799999993</v>
      </c>
      <c r="G9" s="734">
        <v>17149039</v>
      </c>
      <c r="H9" s="734">
        <v>24858740</v>
      </c>
      <c r="I9" s="258">
        <f t="shared" si="1"/>
        <v>7709701</v>
      </c>
      <c r="J9" s="576">
        <f t="shared" si="2"/>
        <v>0.31014045764185955</v>
      </c>
      <c r="K9" s="736">
        <v>49147429</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17531610</v>
      </c>
      <c r="D17" s="650">
        <f t="shared" si="5"/>
        <v>20000000</v>
      </c>
      <c r="E17" s="408">
        <f t="shared" si="5"/>
        <v>20000000</v>
      </c>
      <c r="F17" s="408">
        <f t="shared" si="5"/>
        <v>9581622.1799999997</v>
      </c>
      <c r="G17" s="408">
        <f t="shared" si="5"/>
        <v>11914445.449999999</v>
      </c>
      <c r="H17" s="408">
        <f t="shared" si="5"/>
        <v>12835600</v>
      </c>
      <c r="I17" s="258">
        <f t="shared" si="1"/>
        <v>921154.55000000075</v>
      </c>
      <c r="J17" s="576">
        <f t="shared" si="2"/>
        <v>7.1765601140577825E-2</v>
      </c>
      <c r="K17" s="643">
        <f>SUM(K18:K26)</f>
        <v>20000000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17531610</v>
      </c>
      <c r="D24" s="746">
        <v>20000000</v>
      </c>
      <c r="E24" s="746">
        <v>20000000</v>
      </c>
      <c r="F24" s="734">
        <f>581622.18+9000000</f>
        <v>9581622.1799999997</v>
      </c>
      <c r="G24" s="734">
        <f>2914445.45+9000000</f>
        <v>11914445.449999999</v>
      </c>
      <c r="H24" s="734">
        <v>12835600</v>
      </c>
      <c r="I24" s="258">
        <f t="shared" si="1"/>
        <v>921154.55000000075</v>
      </c>
      <c r="J24" s="576">
        <f t="shared" si="2"/>
        <v>7.1765601140577825E-2</v>
      </c>
      <c r="K24" s="736">
        <v>20000000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3500000</v>
      </c>
      <c r="E69" s="408">
        <f t="shared" si="11"/>
        <v>3500000</v>
      </c>
      <c r="F69" s="408">
        <f t="shared" si="11"/>
        <v>1880267.3</v>
      </c>
      <c r="G69" s="408">
        <f t="shared" si="11"/>
        <v>2005940.4000000001</v>
      </c>
      <c r="H69" s="408">
        <f t="shared" si="11"/>
        <v>2158000</v>
      </c>
      <c r="I69" s="258">
        <f t="shared" si="1"/>
        <v>152059.59999999986</v>
      </c>
      <c r="J69" s="576">
        <f t="shared" si="2"/>
        <v>7.0463206672845169E-2</v>
      </c>
      <c r="K69" s="643">
        <f>SUM(K70:K73)</f>
        <v>3500000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v>3500000</v>
      </c>
      <c r="E73" s="746">
        <v>3500000</v>
      </c>
      <c r="F73" s="734">
        <v>1880267.3</v>
      </c>
      <c r="G73" s="734">
        <v>2005940.4000000001</v>
      </c>
      <c r="H73" s="734">
        <v>2158000</v>
      </c>
      <c r="I73" s="258">
        <f t="shared" si="1"/>
        <v>152059.59999999986</v>
      </c>
      <c r="J73" s="576">
        <f t="shared" si="2"/>
        <v>7.0463206672845169E-2</v>
      </c>
      <c r="K73" s="736">
        <v>3500000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750000</v>
      </c>
      <c r="E117" s="579">
        <f t="shared" si="19"/>
        <v>750000</v>
      </c>
      <c r="F117" s="579">
        <f t="shared" si="19"/>
        <v>0</v>
      </c>
      <c r="G117" s="579">
        <f t="shared" si="19"/>
        <v>0</v>
      </c>
      <c r="H117" s="579">
        <f t="shared" si="19"/>
        <v>0</v>
      </c>
      <c r="I117" s="579">
        <f t="shared" si="1"/>
        <v>0</v>
      </c>
      <c r="J117" s="580" t="str">
        <f t="shared" si="2"/>
        <v/>
      </c>
      <c r="K117" s="581">
        <f>+K118+K130</f>
        <v>750000</v>
      </c>
    </row>
    <row r="118" spans="1:11" ht="12.75" customHeight="1" x14ac:dyDescent="0.25">
      <c r="A118" s="518" t="s">
        <v>1307</v>
      </c>
      <c r="B118" s="169"/>
      <c r="C118" s="649">
        <f t="shared" ref="C118:H118" si="20">SUM(C119:C129)</f>
        <v>0</v>
      </c>
      <c r="D118" s="650">
        <f t="shared" si="20"/>
        <v>750000</v>
      </c>
      <c r="E118" s="408">
        <f t="shared" si="20"/>
        <v>750000</v>
      </c>
      <c r="F118" s="408">
        <f t="shared" si="20"/>
        <v>0</v>
      </c>
      <c r="G118" s="408">
        <f t="shared" si="20"/>
        <v>0</v>
      </c>
      <c r="H118" s="408">
        <f t="shared" si="20"/>
        <v>0</v>
      </c>
      <c r="I118" s="258">
        <f t="shared" si="1"/>
        <v>0</v>
      </c>
      <c r="J118" s="576" t="str">
        <f t="shared" si="2"/>
        <v/>
      </c>
      <c r="K118" s="643">
        <f>SUM(K119:K129)</f>
        <v>750000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v>750000</v>
      </c>
      <c r="E124" s="754">
        <v>750000</v>
      </c>
      <c r="F124" s="734"/>
      <c r="G124" s="734"/>
      <c r="H124" s="734"/>
      <c r="I124" s="44">
        <f t="shared" si="1"/>
        <v>0</v>
      </c>
      <c r="J124" s="124" t="str">
        <f t="shared" si="2"/>
        <v/>
      </c>
      <c r="K124" s="736">
        <v>750000</v>
      </c>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154938</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154938</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154938</v>
      </c>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1337</v>
      </c>
      <c r="B166" s="236">
        <v>1</v>
      </c>
      <c r="C166" s="112">
        <f t="shared" ref="C166:H166" si="33">C7+C75+C103+C110+C117+C135+C138+C148+C151+C154+C157+C160+C163</f>
        <v>17686548</v>
      </c>
      <c r="D166" s="271">
        <f t="shared" si="33"/>
        <v>73397429</v>
      </c>
      <c r="E166" s="55">
        <f t="shared" si="33"/>
        <v>73397429</v>
      </c>
      <c r="F166" s="55">
        <f t="shared" si="33"/>
        <v>19166044.260000002</v>
      </c>
      <c r="G166" s="55">
        <f t="shared" si="33"/>
        <v>31069424.849999998</v>
      </c>
      <c r="H166" s="55">
        <f t="shared" si="33"/>
        <v>39852340</v>
      </c>
      <c r="I166" s="55">
        <f>H166-G166</f>
        <v>8782915.1500000022</v>
      </c>
      <c r="J166" s="290">
        <f>IF(I166=0,"",I166/H166)</f>
        <v>0.22038643527582075</v>
      </c>
      <c r="K166" s="235">
        <f>K7+K75+K103+K110+K117+K135+K138+K148+K151+K154+K157+K160+K163</f>
        <v>73397429</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C166+SC13a!C166+SC13b!C166-'C5-Capex'!C40</f>
        <v>-0.90130434930324554</v>
      </c>
      <c r="D171" s="135">
        <f>D166+SC13a!D166+SC13b!D166-'C5-Capex'!D40</f>
        <v>0</v>
      </c>
      <c r="E171" s="135">
        <f>E166+SC13a!E166+SC13b!E166-'C5-Capex'!E40</f>
        <v>0</v>
      </c>
      <c r="F171" s="135">
        <f>F166+SC13a!F166+SC13b!F166-'C5-Capex'!F40</f>
        <v>0</v>
      </c>
      <c r="G171" s="135">
        <f>G166+SC13a!G166+SC13b!G166-'C5-Capex'!G40</f>
        <v>0.10000000894069672</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K124" sqref="K124"/>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900</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19231011.369999997</v>
      </c>
      <c r="C3" s="43">
        <f>'SC12'!C6</f>
        <v>3597000</v>
      </c>
      <c r="D3" s="43">
        <f>'SC12'!D6</f>
        <v>3597000</v>
      </c>
      <c r="E3" s="45">
        <f>'SC12'!E6</f>
        <v>5554740.2300000004</v>
      </c>
      <c r="F3" s="43"/>
      <c r="G3" s="43"/>
      <c r="H3" s="43"/>
      <c r="I3" s="43"/>
      <c r="J3" s="43"/>
      <c r="K3" s="43"/>
    </row>
    <row r="4" spans="1:11" x14ac:dyDescent="0.25">
      <c r="A4" s="42" t="str">
        <f>LEFT('SC12'!A7,3)</f>
        <v>Aug</v>
      </c>
      <c r="B4" s="43">
        <f>'SC12'!B7</f>
        <v>7413792.5199999996</v>
      </c>
      <c r="C4" s="43">
        <f>'SC12'!C7</f>
        <v>9540000</v>
      </c>
      <c r="D4" s="43">
        <f>'SC12'!D7</f>
        <v>9540000</v>
      </c>
      <c r="E4" s="45">
        <f>'SC12'!E7</f>
        <v>24246351.16</v>
      </c>
      <c r="F4" s="43"/>
      <c r="G4" s="43"/>
      <c r="H4" s="43"/>
      <c r="I4" s="43"/>
      <c r="J4" s="43"/>
      <c r="K4" s="43"/>
    </row>
    <row r="5" spans="1:11" x14ac:dyDescent="0.25">
      <c r="A5" s="42" t="str">
        <f>LEFT('SC12'!A8,3)</f>
        <v>Sep</v>
      </c>
      <c r="B5" s="43">
        <f>'SC12'!B8</f>
        <v>5606695.8200000003</v>
      </c>
      <c r="C5" s="43">
        <f>'SC12'!C8</f>
        <v>7545000</v>
      </c>
      <c r="D5" s="43">
        <f>'SC12'!D8</f>
        <v>7545000</v>
      </c>
      <c r="E5" s="45">
        <f>'SC12'!E8</f>
        <v>4790238.71</v>
      </c>
      <c r="F5" s="43"/>
      <c r="G5" s="43"/>
      <c r="H5" s="43"/>
      <c r="I5" s="43"/>
      <c r="J5" s="43"/>
      <c r="K5" s="43"/>
    </row>
    <row r="6" spans="1:11" x14ac:dyDescent="0.25">
      <c r="A6" s="42" t="str">
        <f>LEFT('SC12'!A9,3)</f>
        <v>Oct</v>
      </c>
      <c r="B6" s="43">
        <f>'SC12'!B9</f>
        <v>5872546.5199999996</v>
      </c>
      <c r="C6" s="43">
        <f>'SC12'!C9</f>
        <v>10583000</v>
      </c>
      <c r="D6" s="43">
        <f>'SC12'!D9</f>
        <v>10583000</v>
      </c>
      <c r="E6" s="45">
        <f>'SC12'!E9</f>
        <v>4804471.47</v>
      </c>
      <c r="F6" s="43"/>
      <c r="G6" s="43"/>
      <c r="H6" s="43"/>
      <c r="I6" s="43"/>
      <c r="J6" s="43"/>
      <c r="K6" s="43"/>
    </row>
    <row r="7" spans="1:11" x14ac:dyDescent="0.25">
      <c r="A7" s="42" t="str">
        <f>LEFT('SC12'!A10,3)</f>
        <v>Nov</v>
      </c>
      <c r="B7" s="43">
        <f>'SC12'!B10</f>
        <v>4185356.82</v>
      </c>
      <c r="C7" s="43">
        <f>'SC12'!C10</f>
        <v>14220000</v>
      </c>
      <c r="D7" s="43">
        <f>'SC12'!D10</f>
        <v>14220000</v>
      </c>
      <c r="E7" s="45">
        <f>'SC12'!E10</f>
        <v>9915031.4600000009</v>
      </c>
      <c r="F7" s="43"/>
      <c r="G7" s="43"/>
      <c r="H7" s="43"/>
      <c r="I7" s="43"/>
      <c r="J7" s="43"/>
      <c r="K7" s="43"/>
    </row>
    <row r="8" spans="1:11" x14ac:dyDescent="0.25">
      <c r="A8" s="42" t="str">
        <f>LEFT('SC12'!A11,3)</f>
        <v>Dec</v>
      </c>
      <c r="B8" s="43">
        <f>'SC12'!B11</f>
        <v>7353836.1899999995</v>
      </c>
      <c r="C8" s="43">
        <f>'SC12'!C11</f>
        <v>19396000</v>
      </c>
      <c r="D8" s="43">
        <f>'SC12'!D11</f>
        <v>19396000</v>
      </c>
      <c r="E8" s="45">
        <f>'SC12'!E11</f>
        <v>25314667.419999998</v>
      </c>
      <c r="F8" s="43"/>
      <c r="G8" s="43"/>
      <c r="H8" s="43"/>
      <c r="I8" s="43"/>
      <c r="J8" s="43"/>
      <c r="K8" s="43"/>
    </row>
    <row r="9" spans="1:11" x14ac:dyDescent="0.25">
      <c r="A9" s="42" t="str">
        <f>LEFT('SC12'!A12,3)</f>
        <v>Jan</v>
      </c>
      <c r="B9" s="43">
        <f>'SC12'!B12</f>
        <v>2583015.5900000003</v>
      </c>
      <c r="C9" s="43">
        <f>'SC12'!C12</f>
        <v>13356000</v>
      </c>
      <c r="D9" s="43">
        <f>'SC12'!D12</f>
        <v>13356000</v>
      </c>
      <c r="E9" s="45">
        <f>'SC12'!E12</f>
        <v>0</v>
      </c>
      <c r="F9" s="43"/>
      <c r="G9" s="43"/>
      <c r="H9" s="43"/>
      <c r="I9" s="43"/>
      <c r="J9" s="43"/>
      <c r="K9" s="43"/>
    </row>
    <row r="10" spans="1:11" x14ac:dyDescent="0.25">
      <c r="A10" s="42" t="str">
        <f>LEFT('SC12'!A13,3)</f>
        <v>Feb</v>
      </c>
      <c r="B10" s="43">
        <f>'SC12'!B13</f>
        <v>10959701.699999999</v>
      </c>
      <c r="C10" s="43">
        <f>'SC12'!C13</f>
        <v>19309000</v>
      </c>
      <c r="D10" s="43">
        <f>'SC12'!D13</f>
        <v>19309000</v>
      </c>
      <c r="E10" s="45">
        <f>'SC12'!E13</f>
        <v>0</v>
      </c>
      <c r="F10" s="43"/>
      <c r="G10" s="43"/>
      <c r="H10" s="43"/>
      <c r="I10" s="43"/>
      <c r="J10" s="43"/>
      <c r="K10" s="43"/>
    </row>
    <row r="11" spans="1:11" x14ac:dyDescent="0.25">
      <c r="A11" s="42" t="str">
        <f>LEFT('SC12'!A14,3)</f>
        <v>Mar</v>
      </c>
      <c r="B11" s="43">
        <f>'SC12'!B14</f>
        <v>5548374.54</v>
      </c>
      <c r="C11" s="43">
        <f>'SC12'!C14</f>
        <v>13155000</v>
      </c>
      <c r="D11" s="43">
        <f>'SC12'!D14</f>
        <v>13155000</v>
      </c>
      <c r="E11" s="45">
        <f>'SC12'!E14</f>
        <v>0</v>
      </c>
      <c r="F11" s="43"/>
      <c r="G11" s="43"/>
      <c r="H11" s="43"/>
      <c r="I11" s="43"/>
      <c r="J11" s="43"/>
      <c r="K11" s="43"/>
    </row>
    <row r="12" spans="1:11" x14ac:dyDescent="0.25">
      <c r="A12" s="42" t="str">
        <f>LEFT('SC12'!A15,3)</f>
        <v>Apr</v>
      </c>
      <c r="B12" s="43">
        <f>'SC12'!B15</f>
        <v>8654474.5399999991</v>
      </c>
      <c r="C12" s="43">
        <f>'SC12'!C15</f>
        <v>10547000</v>
      </c>
      <c r="D12" s="43">
        <f>'SC12'!D15</f>
        <v>10547000</v>
      </c>
      <c r="E12" s="45">
        <f>'SC12'!E15</f>
        <v>0</v>
      </c>
      <c r="F12" s="43"/>
      <c r="G12" s="43"/>
      <c r="H12" s="43"/>
      <c r="I12" s="43"/>
      <c r="J12" s="43"/>
      <c r="K12" s="43"/>
    </row>
    <row r="13" spans="1:11" x14ac:dyDescent="0.25">
      <c r="A13" s="42" t="str">
        <f>LEFT('SC12'!A16,3)</f>
        <v>May</v>
      </c>
      <c r="B13" s="43">
        <f>'SC12'!B16</f>
        <v>17774802.169999998</v>
      </c>
      <c r="C13" s="43">
        <f>'SC12'!C16</f>
        <v>9821000</v>
      </c>
      <c r="D13" s="43">
        <f>'SC12'!D16</f>
        <v>9821000</v>
      </c>
      <c r="E13" s="45">
        <f>'SC12'!E16</f>
        <v>0</v>
      </c>
      <c r="F13" s="43"/>
      <c r="G13" s="43"/>
      <c r="H13" s="43"/>
      <c r="I13" s="43"/>
      <c r="J13" s="43"/>
      <c r="K13" s="43"/>
    </row>
    <row r="14" spans="1:11" x14ac:dyDescent="0.25">
      <c r="A14" s="91" t="str">
        <f>LEFT('SC12'!A17,3)</f>
        <v>Jun</v>
      </c>
      <c r="B14" s="356">
        <f>'SC12'!B17</f>
        <v>8264280</v>
      </c>
      <c r="C14" s="356">
        <f>'SC12'!C17</f>
        <v>11417000</v>
      </c>
      <c r="D14" s="356">
        <f>'SC12'!D17</f>
        <v>11417000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900</v>
      </c>
      <c r="B27" s="358" t="str">
        <f>'SC12'!F3</f>
        <v>YearTD actual</v>
      </c>
      <c r="C27" s="358" t="str">
        <f>'SC12'!G3</f>
        <v>YearTD budget</v>
      </c>
      <c r="D27" s="272"/>
      <c r="E27" s="61"/>
      <c r="F27" s="61"/>
      <c r="G27" s="61"/>
      <c r="H27" s="61"/>
      <c r="I27" s="61"/>
      <c r="J27" s="67"/>
    </row>
    <row r="28" spans="1:10" x14ac:dyDescent="0.25">
      <c r="A28" s="360" t="str">
        <f>LEFT('SC12'!A6,3)</f>
        <v>Jul</v>
      </c>
      <c r="B28" s="361">
        <f>'SC12'!F6</f>
        <v>5554740.2300000004</v>
      </c>
      <c r="C28" s="362">
        <f>'SC12'!G6</f>
        <v>3597000</v>
      </c>
      <c r="D28" s="43"/>
      <c r="E28" s="43"/>
      <c r="F28" s="43"/>
      <c r="G28" s="43"/>
      <c r="H28" s="43"/>
      <c r="I28" s="43"/>
    </row>
    <row r="29" spans="1:10" x14ac:dyDescent="0.25">
      <c r="A29" s="42" t="str">
        <f>LEFT('SC12'!A7,3)</f>
        <v>Aug</v>
      </c>
      <c r="B29" s="43">
        <f>'SC12'!F7</f>
        <v>29801091.390000001</v>
      </c>
      <c r="C29" s="45">
        <f>'SC12'!G7</f>
        <v>13137000</v>
      </c>
      <c r="D29" s="43"/>
      <c r="E29" s="43"/>
      <c r="F29" s="43"/>
      <c r="G29" s="43"/>
      <c r="H29" s="43"/>
      <c r="I29" s="43"/>
    </row>
    <row r="30" spans="1:10" x14ac:dyDescent="0.25">
      <c r="A30" s="42" t="str">
        <f>LEFT('SC12'!A8,3)</f>
        <v>Sep</v>
      </c>
      <c r="B30" s="43">
        <f>'SC12'!F8</f>
        <v>34591330.100000001</v>
      </c>
      <c r="C30" s="45">
        <f>'SC12'!G8</f>
        <v>20682000</v>
      </c>
      <c r="D30" s="43"/>
      <c r="E30" s="43"/>
      <c r="F30" s="43"/>
      <c r="G30" s="43"/>
      <c r="H30" s="43"/>
      <c r="I30" s="43"/>
    </row>
    <row r="31" spans="1:10" x14ac:dyDescent="0.25">
      <c r="A31" s="42" t="str">
        <f>LEFT('SC12'!A9,3)</f>
        <v>Oct</v>
      </c>
      <c r="B31" s="43">
        <f>'SC12'!F9</f>
        <v>39395801.57</v>
      </c>
      <c r="C31" s="45">
        <f>'SC12'!G9</f>
        <v>31265000</v>
      </c>
      <c r="D31" s="43"/>
      <c r="E31" s="43"/>
      <c r="F31" s="43"/>
      <c r="G31" s="43"/>
      <c r="H31" s="43"/>
      <c r="I31" s="43"/>
    </row>
    <row r="32" spans="1:10" x14ac:dyDescent="0.25">
      <c r="A32" s="42" t="str">
        <f>LEFT('SC12'!A10,3)</f>
        <v>Nov</v>
      </c>
      <c r="B32" s="43">
        <f>'SC12'!F10</f>
        <v>49310833.030000001</v>
      </c>
      <c r="C32" s="45">
        <f>'SC12'!G10</f>
        <v>45485000</v>
      </c>
      <c r="D32" s="43"/>
      <c r="E32" s="43"/>
      <c r="F32" s="43"/>
      <c r="G32" s="43"/>
      <c r="H32" s="43"/>
      <c r="I32" s="43"/>
    </row>
    <row r="33" spans="1:9" x14ac:dyDescent="0.25">
      <c r="A33" s="42" t="str">
        <f>LEFT('SC12'!A11,3)</f>
        <v>Dec</v>
      </c>
      <c r="B33" s="43">
        <f>'SC12'!F11</f>
        <v>74625500.450000003</v>
      </c>
      <c r="C33" s="45">
        <f>'SC12'!G11</f>
        <v>64881000</v>
      </c>
      <c r="D33" s="43"/>
      <c r="E33" s="43"/>
      <c r="F33" s="43"/>
      <c r="G33" s="43"/>
      <c r="H33" s="43"/>
      <c r="I33" s="43"/>
    </row>
    <row r="34" spans="1:9" x14ac:dyDescent="0.25">
      <c r="A34" s="42" t="str">
        <f>LEFT('SC12'!A12,3)</f>
        <v>Jan</v>
      </c>
      <c r="B34" s="43" t="str">
        <f>'SC12'!F12</f>
        <v/>
      </c>
      <c r="C34" s="45">
        <f>'SC12'!G12</f>
        <v>78237000</v>
      </c>
      <c r="D34" s="43"/>
      <c r="E34" s="43"/>
      <c r="F34" s="43"/>
      <c r="G34" s="43"/>
      <c r="H34" s="43"/>
      <c r="I34" s="43"/>
    </row>
    <row r="35" spans="1:9" x14ac:dyDescent="0.25">
      <c r="A35" s="42" t="str">
        <f>LEFT('SC12'!A13,3)</f>
        <v>Feb</v>
      </c>
      <c r="B35" s="43" t="str">
        <f>'SC12'!F13</f>
        <v/>
      </c>
      <c r="C35" s="45">
        <f>'SC12'!G13</f>
        <v>97546000</v>
      </c>
      <c r="D35" s="43"/>
      <c r="E35" s="43"/>
      <c r="F35" s="43"/>
      <c r="G35" s="43"/>
      <c r="H35" s="43"/>
      <c r="I35" s="43"/>
    </row>
    <row r="36" spans="1:9" x14ac:dyDescent="0.25">
      <c r="A36" s="42" t="str">
        <f>LEFT('SC12'!A14,3)</f>
        <v>Mar</v>
      </c>
      <c r="B36" s="43" t="str">
        <f>'SC12'!F14</f>
        <v/>
      </c>
      <c r="C36" s="45">
        <f>'SC12'!G14</f>
        <v>110701000</v>
      </c>
      <c r="D36" s="43"/>
      <c r="E36" s="43"/>
      <c r="F36" s="43"/>
      <c r="G36" s="43"/>
      <c r="H36" s="43"/>
      <c r="I36" s="43"/>
    </row>
    <row r="37" spans="1:9" x14ac:dyDescent="0.25">
      <c r="A37" s="42" t="str">
        <f>LEFT('SC12'!A15,3)</f>
        <v>Apr</v>
      </c>
      <c r="B37" s="43" t="str">
        <f>'SC12'!F15</f>
        <v/>
      </c>
      <c r="C37" s="45">
        <f>'SC12'!G15</f>
        <v>121248000</v>
      </c>
      <c r="D37" s="43"/>
      <c r="E37" s="43"/>
      <c r="F37" s="43"/>
      <c r="G37" s="43"/>
      <c r="H37" s="43"/>
      <c r="I37" s="43"/>
    </row>
    <row r="38" spans="1:9" x14ac:dyDescent="0.25">
      <c r="A38" s="42" t="str">
        <f>LEFT('SC12'!A16,3)</f>
        <v>May</v>
      </c>
      <c r="B38" s="43" t="str">
        <f>'SC12'!F16</f>
        <v/>
      </c>
      <c r="C38" s="45">
        <f>'SC12'!G16</f>
        <v>131069000</v>
      </c>
      <c r="D38" s="43"/>
      <c r="E38" s="43"/>
      <c r="F38" s="43"/>
      <c r="G38" s="43"/>
      <c r="H38" s="43"/>
      <c r="I38" s="43"/>
    </row>
    <row r="39" spans="1:9" x14ac:dyDescent="0.25">
      <c r="A39" s="91" t="str">
        <f>LEFT('SC12'!A17,3)</f>
        <v>Jun</v>
      </c>
      <c r="B39" s="356" t="str">
        <f>'SC12'!F17</f>
        <v/>
      </c>
      <c r="C39" s="357">
        <f>'SC12'!G17</f>
        <v>142486000</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63007254.579999983</v>
      </c>
      <c r="C53" s="43">
        <f>'SC3'!D14</f>
        <v>22044302.580000002</v>
      </c>
      <c r="D53" s="43">
        <f>'SC3'!E14</f>
        <v>23430435.810000002</v>
      </c>
      <c r="E53" s="43">
        <f>'SC3'!F14</f>
        <v>13884810.210000001</v>
      </c>
      <c r="F53" s="43">
        <f>'SC3'!G14</f>
        <v>557594611.64999998</v>
      </c>
      <c r="G53" s="43">
        <f>'SC3'!H14</f>
        <v>0</v>
      </c>
      <c r="H53" s="43">
        <f>'SC3'!I14</f>
        <v>0</v>
      </c>
      <c r="I53" s="43">
        <f>'SC3'!J14</f>
        <v>0</v>
      </c>
    </row>
    <row r="54" spans="1:9" x14ac:dyDescent="0.25">
      <c r="A54" s="61" t="str">
        <f>Head1</f>
        <v>2018/19</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20687050.4267</v>
      </c>
      <c r="C78" s="43">
        <f>'SC3'!K17</f>
        <v>21326856.109999999</v>
      </c>
      <c r="D78" s="43"/>
      <c r="E78" s="43"/>
      <c r="F78" s="43"/>
      <c r="G78" s="43"/>
      <c r="H78" s="43"/>
      <c r="I78" s="43"/>
      <c r="J78" s="43"/>
    </row>
    <row r="79" spans="1:10" x14ac:dyDescent="0.25">
      <c r="A79" s="61" t="str">
        <f>'SC3'!A18</f>
        <v>Commercial</v>
      </c>
      <c r="B79" s="43">
        <f>C79*0.97</f>
        <v>224641244.30050004</v>
      </c>
      <c r="C79" s="43">
        <f>'SC3'!K18</f>
        <v>231588911.65000004</v>
      </c>
      <c r="D79" s="43"/>
      <c r="E79" s="43"/>
      <c r="F79" s="43"/>
      <c r="G79" s="43"/>
      <c r="H79" s="43"/>
      <c r="I79" s="43"/>
      <c r="J79" s="43"/>
    </row>
    <row r="80" spans="1:10" x14ac:dyDescent="0.25">
      <c r="A80" s="61" t="str">
        <f>'SC3'!A19</f>
        <v>Households</v>
      </c>
      <c r="B80" s="43">
        <f>C80*0.97</f>
        <v>355645728.39539999</v>
      </c>
      <c r="C80" s="43">
        <f>'SC3'!K19</f>
        <v>366645080.81999999</v>
      </c>
    </row>
    <row r="81" spans="1:3" x14ac:dyDescent="0.25">
      <c r="A81" s="61" t="str">
        <f>'SC3'!A20</f>
        <v>Other</v>
      </c>
      <c r="B81" s="43">
        <f>C81*0.97</f>
        <v>58588549.262499996</v>
      </c>
      <c r="C81" s="43">
        <f>'SC3'!K20</f>
        <v>60400566.25</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2019/20</v>
      </c>
      <c r="B104" s="43">
        <f>'SC4'!K6</f>
        <v>0</v>
      </c>
      <c r="C104" s="43">
        <f>'SC4'!K7</f>
        <v>0</v>
      </c>
      <c r="D104" s="43">
        <f>'SC4'!K8</f>
        <v>0</v>
      </c>
      <c r="E104" s="43">
        <f>'SC4'!K9</f>
        <v>0</v>
      </c>
      <c r="F104" s="43">
        <f>'SC4'!K10</f>
        <v>0</v>
      </c>
      <c r="G104" s="43">
        <f>'SC4'!K11</f>
        <v>0</v>
      </c>
      <c r="H104" s="43">
        <f>'SC4'!K12</f>
        <v>2650630.5100000002</v>
      </c>
      <c r="I104" s="43">
        <f>'SC4'!K13</f>
        <v>0</v>
      </c>
      <c r="J104" s="43">
        <f>'SC4'!K14</f>
        <v>0</v>
      </c>
    </row>
    <row r="106" spans="1:10" ht="12" customHeight="1" x14ac:dyDescent="0.25">
      <c r="A106" s="61"/>
      <c r="B106" s="43"/>
      <c r="C106" s="43"/>
    </row>
  </sheetData>
  <sheetProtection sheet="1" objects="1" scenarios="1" selectLockedCells="1" selectUnlockedCells="1"/>
  <phoneticPr fontId="5"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682</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564</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1001</v>
      </c>
      <c r="S2" s="1" t="s">
        <v>1011</v>
      </c>
      <c r="T2" s="1" t="s">
        <v>50</v>
      </c>
      <c r="U2" s="1" t="s">
        <v>1018</v>
      </c>
      <c r="V2" s="1" t="s">
        <v>578</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1002</v>
      </c>
      <c r="S3" s="1" t="s">
        <v>1012</v>
      </c>
      <c r="T3" s="1" t="s">
        <v>1023</v>
      </c>
      <c r="U3" s="1" t="s">
        <v>1019</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1003</v>
      </c>
      <c r="S4" s="1" t="s">
        <v>722</v>
      </c>
      <c r="T4" s="1" t="s">
        <v>1013</v>
      </c>
      <c r="U4" s="1" t="s">
        <v>619</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575</v>
      </c>
      <c r="S5" s="1" t="s">
        <v>782</v>
      </c>
      <c r="T5" s="1" t="s">
        <v>1014</v>
      </c>
      <c r="U5" s="1" t="s">
        <v>1020</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1004</v>
      </c>
      <c r="T6" s="1" t="s">
        <v>1015</v>
      </c>
      <c r="U6" s="1" t="s">
        <v>1021</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1005</v>
      </c>
      <c r="T7" s="1" t="s">
        <v>1016</v>
      </c>
      <c r="U7" s="1" t="s">
        <v>1022</v>
      </c>
    </row>
    <row r="8" spans="1:22" ht="20.25" customHeight="1" x14ac:dyDescent="0.25">
      <c r="A8" s="379" t="s">
        <v>41</v>
      </c>
      <c r="R8" s="1" t="s">
        <v>1006</v>
      </c>
      <c r="T8" s="1" t="s">
        <v>1017</v>
      </c>
      <c r="U8" s="1" t="s">
        <v>782</v>
      </c>
    </row>
    <row r="9" spans="1:22" x14ac:dyDescent="0.2">
      <c r="R9" s="1" t="s">
        <v>1007</v>
      </c>
    </row>
    <row r="10" spans="1:22" x14ac:dyDescent="0.2">
      <c r="R10" s="1" t="s">
        <v>1008</v>
      </c>
    </row>
    <row r="11" spans="1:22" x14ac:dyDescent="0.2">
      <c r="R11" s="1" t="s">
        <v>1009</v>
      </c>
    </row>
    <row r="12" spans="1:22" x14ac:dyDescent="0.2">
      <c r="R12" s="1" t="s">
        <v>1010</v>
      </c>
    </row>
    <row r="26" spans="1:3" x14ac:dyDescent="0.2">
      <c r="A26" s="1" t="s">
        <v>187</v>
      </c>
      <c r="B26" s="1">
        <v>131</v>
      </c>
    </row>
    <row r="27" spans="1:3" x14ac:dyDescent="0.2">
      <c r="A27" s="1" t="s">
        <v>188</v>
      </c>
      <c r="B27" s="1" t="str">
        <f>INDEX(B28:B311,B26,1)</f>
        <v>LIM333 Greater Tzaneen</v>
      </c>
    </row>
    <row r="28" spans="1:3" ht="12.75" x14ac:dyDescent="0.2">
      <c r="B28" s="917" t="s">
        <v>189</v>
      </c>
      <c r="C28" s="1" t="s">
        <v>190</v>
      </c>
    </row>
    <row r="29" spans="1:3" ht="12.75" x14ac:dyDescent="0.2">
      <c r="B29" s="923" t="s">
        <v>1076</v>
      </c>
      <c r="C29" s="946" t="s">
        <v>1345</v>
      </c>
    </row>
    <row r="30" spans="1:3" ht="12.75" x14ac:dyDescent="0.2">
      <c r="B30" s="923" t="s">
        <v>1077</v>
      </c>
      <c r="C30" s="947" t="s">
        <v>1345</v>
      </c>
    </row>
    <row r="31" spans="1:3" ht="12.75" x14ac:dyDescent="0.2">
      <c r="B31" s="923" t="s">
        <v>1346</v>
      </c>
      <c r="C31" s="946" t="s">
        <v>1345</v>
      </c>
    </row>
    <row r="32" spans="1:3" ht="12.75" x14ac:dyDescent="0.2">
      <c r="B32" s="923" t="s">
        <v>225</v>
      </c>
      <c r="C32" s="946" t="s">
        <v>1345</v>
      </c>
    </row>
    <row r="33" spans="2:3" ht="12.75" x14ac:dyDescent="0.2">
      <c r="B33" s="923" t="s">
        <v>226</v>
      </c>
      <c r="C33" s="946" t="s">
        <v>1345</v>
      </c>
    </row>
    <row r="34" spans="2:3" ht="12.75" x14ac:dyDescent="0.2">
      <c r="B34" s="923" t="s">
        <v>227</v>
      </c>
      <c r="C34" s="946" t="s">
        <v>1345</v>
      </c>
    </row>
    <row r="35" spans="2:3" ht="12.75" x14ac:dyDescent="0.2">
      <c r="B35" s="923" t="s">
        <v>228</v>
      </c>
      <c r="C35" s="946" t="s">
        <v>1345</v>
      </c>
    </row>
    <row r="36" spans="2:3" ht="12.75" x14ac:dyDescent="0.2">
      <c r="B36" s="923" t="s">
        <v>229</v>
      </c>
      <c r="C36" s="947" t="s">
        <v>1345</v>
      </c>
    </row>
    <row r="37" spans="2:3" ht="12.75" x14ac:dyDescent="0.2">
      <c r="B37" s="923" t="s">
        <v>991</v>
      </c>
      <c r="C37" s="946" t="s">
        <v>1345</v>
      </c>
    </row>
    <row r="38" spans="2:3" ht="12.75" x14ac:dyDescent="0.2">
      <c r="B38" s="923" t="s">
        <v>1111</v>
      </c>
      <c r="C38" s="921" t="s">
        <v>1345</v>
      </c>
    </row>
    <row r="39" spans="2:3" ht="12.75" x14ac:dyDescent="0.2">
      <c r="B39" s="923" t="s">
        <v>230</v>
      </c>
      <c r="C39" s="921" t="s">
        <v>1345</v>
      </c>
    </row>
    <row r="40" spans="2:3" ht="12.75" x14ac:dyDescent="0.2">
      <c r="B40" s="923" t="s">
        <v>231</v>
      </c>
      <c r="C40" s="892" t="s">
        <v>1345</v>
      </c>
    </row>
    <row r="41" spans="2:3" ht="12.75" x14ac:dyDescent="0.2">
      <c r="B41" s="923" t="s">
        <v>232</v>
      </c>
      <c r="C41" s="892" t="s">
        <v>1345</v>
      </c>
    </row>
    <row r="42" spans="2:3" ht="12.75" x14ac:dyDescent="0.2">
      <c r="B42" s="923" t="s">
        <v>233</v>
      </c>
      <c r="C42" s="892" t="s">
        <v>1345</v>
      </c>
    </row>
    <row r="43" spans="2:3" ht="12.75" x14ac:dyDescent="0.2">
      <c r="B43" s="923" t="s">
        <v>234</v>
      </c>
      <c r="C43" s="892" t="s">
        <v>1345</v>
      </c>
    </row>
    <row r="44" spans="2:3" ht="12.75" x14ac:dyDescent="0.2">
      <c r="B44" s="948" t="s">
        <v>1115</v>
      </c>
      <c r="C44" s="892" t="s">
        <v>1345</v>
      </c>
    </row>
    <row r="45" spans="2:3" ht="12.75" x14ac:dyDescent="0.2">
      <c r="B45" s="923" t="s">
        <v>192</v>
      </c>
      <c r="C45" s="892" t="s">
        <v>1345</v>
      </c>
    </row>
    <row r="46" spans="2:3" ht="12.75" x14ac:dyDescent="0.2">
      <c r="B46" s="923" t="s">
        <v>235</v>
      </c>
      <c r="C46" s="892" t="s">
        <v>1345</v>
      </c>
    </row>
    <row r="47" spans="2:3" ht="12.75" x14ac:dyDescent="0.2">
      <c r="B47" s="923" t="s">
        <v>236</v>
      </c>
      <c r="C47" s="892" t="s">
        <v>1345</v>
      </c>
    </row>
    <row r="48" spans="2:3" ht="12.75" x14ac:dyDescent="0.2">
      <c r="B48" s="923" t="s">
        <v>237</v>
      </c>
      <c r="C48" s="892" t="s">
        <v>1345</v>
      </c>
    </row>
    <row r="49" spans="2:3" ht="12.75" x14ac:dyDescent="0.2">
      <c r="B49" s="923" t="s">
        <v>238</v>
      </c>
      <c r="C49" s="892" t="s">
        <v>1345</v>
      </c>
    </row>
    <row r="50" spans="2:3" ht="12.75" x14ac:dyDescent="0.2">
      <c r="B50" s="923" t="s">
        <v>239</v>
      </c>
      <c r="C50" s="921" t="s">
        <v>1345</v>
      </c>
    </row>
    <row r="51" spans="2:3" ht="12.75" x14ac:dyDescent="0.2">
      <c r="B51" s="948" t="s">
        <v>1116</v>
      </c>
      <c r="C51" s="921" t="s">
        <v>1345</v>
      </c>
    </row>
    <row r="52" spans="2:3" ht="12.75" x14ac:dyDescent="0.2">
      <c r="B52" s="923" t="s">
        <v>193</v>
      </c>
      <c r="C52" s="921" t="s">
        <v>1345</v>
      </c>
    </row>
    <row r="53" spans="2:3" ht="12.75" x14ac:dyDescent="0.2">
      <c r="B53" s="923" t="s">
        <v>240</v>
      </c>
      <c r="C53" s="921" t="s">
        <v>1345</v>
      </c>
    </row>
    <row r="54" spans="2:3" ht="12.75" x14ac:dyDescent="0.2">
      <c r="B54" s="923" t="s">
        <v>241</v>
      </c>
      <c r="C54" s="921" t="s">
        <v>1345</v>
      </c>
    </row>
    <row r="55" spans="2:3" ht="12.75" x14ac:dyDescent="0.2">
      <c r="B55" s="948" t="s">
        <v>1117</v>
      </c>
      <c r="C55" s="921" t="s">
        <v>1345</v>
      </c>
    </row>
    <row r="56" spans="2:3" ht="12.75" x14ac:dyDescent="0.2">
      <c r="B56" s="923" t="s">
        <v>989</v>
      </c>
      <c r="C56" s="921" t="s">
        <v>1345</v>
      </c>
    </row>
    <row r="57" spans="2:3" ht="12.75" x14ac:dyDescent="0.2">
      <c r="B57" s="923" t="s">
        <v>242</v>
      </c>
      <c r="C57" s="647" t="s">
        <v>1345</v>
      </c>
    </row>
    <row r="58" spans="2:3" ht="12.75" x14ac:dyDescent="0.2">
      <c r="B58" s="923" t="s">
        <v>243</v>
      </c>
      <c r="C58" s="647" t="s">
        <v>1345</v>
      </c>
    </row>
    <row r="59" spans="2:3" ht="12.75" x14ac:dyDescent="0.2">
      <c r="B59" s="923" t="s">
        <v>244</v>
      </c>
      <c r="C59" s="921" t="s">
        <v>1345</v>
      </c>
    </row>
    <row r="60" spans="2:3" ht="12.75" x14ac:dyDescent="0.2">
      <c r="B60" s="923" t="s">
        <v>245</v>
      </c>
      <c r="C60" s="921" t="s">
        <v>1345</v>
      </c>
    </row>
    <row r="61" spans="2:3" ht="12.75" x14ac:dyDescent="0.2">
      <c r="B61" s="923" t="s">
        <v>246</v>
      </c>
      <c r="C61" s="921" t="s">
        <v>1345</v>
      </c>
    </row>
    <row r="62" spans="2:3" ht="12.75" x14ac:dyDescent="0.2">
      <c r="B62" s="923" t="s">
        <v>194</v>
      </c>
      <c r="C62" s="921" t="s">
        <v>1345</v>
      </c>
    </row>
    <row r="63" spans="2:3" ht="12.75" x14ac:dyDescent="0.2">
      <c r="B63" s="923" t="s">
        <v>247</v>
      </c>
      <c r="C63" s="892" t="s">
        <v>1345</v>
      </c>
    </row>
    <row r="64" spans="2:3" ht="12.75" x14ac:dyDescent="0.2">
      <c r="B64" s="923" t="s">
        <v>248</v>
      </c>
      <c r="C64" s="921" t="s">
        <v>1345</v>
      </c>
    </row>
    <row r="65" spans="2:3" ht="12.75" x14ac:dyDescent="0.2">
      <c r="B65" s="923" t="s">
        <v>1071</v>
      </c>
      <c r="C65" s="921" t="s">
        <v>1345</v>
      </c>
    </row>
    <row r="66" spans="2:3" ht="12.75" x14ac:dyDescent="0.2">
      <c r="B66" s="923" t="s">
        <v>1072</v>
      </c>
      <c r="C66" s="921" t="s">
        <v>1345</v>
      </c>
    </row>
    <row r="67" spans="2:3" ht="12.75" x14ac:dyDescent="0.2">
      <c r="B67" s="923" t="s">
        <v>220</v>
      </c>
      <c r="C67" s="921" t="s">
        <v>1345</v>
      </c>
    </row>
    <row r="68" spans="2:3" ht="12.75" x14ac:dyDescent="0.2">
      <c r="B68" s="923" t="s">
        <v>1078</v>
      </c>
      <c r="C68" s="921" t="s">
        <v>1347</v>
      </c>
    </row>
    <row r="69" spans="2:3" ht="12.75" x14ac:dyDescent="0.2">
      <c r="B69" s="923" t="s">
        <v>249</v>
      </c>
      <c r="C69" s="921" t="s">
        <v>1347</v>
      </c>
    </row>
    <row r="70" spans="2:3" ht="12.75" x14ac:dyDescent="0.2">
      <c r="B70" s="923" t="s">
        <v>250</v>
      </c>
      <c r="C70" s="921" t="s">
        <v>1347</v>
      </c>
    </row>
    <row r="71" spans="2:3" ht="12.75" x14ac:dyDescent="0.2">
      <c r="B71" s="923" t="s">
        <v>251</v>
      </c>
      <c r="C71" s="921" t="s">
        <v>1347</v>
      </c>
    </row>
    <row r="72" spans="2:3" ht="12.75" x14ac:dyDescent="0.2">
      <c r="B72" s="923" t="s">
        <v>195</v>
      </c>
      <c r="C72" s="921" t="s">
        <v>1347</v>
      </c>
    </row>
    <row r="73" spans="2:3" ht="12.75" x14ac:dyDescent="0.2">
      <c r="B73" s="923" t="s">
        <v>252</v>
      </c>
      <c r="C73" s="921" t="s">
        <v>1347</v>
      </c>
    </row>
    <row r="74" spans="2:3" ht="12.75" x14ac:dyDescent="0.2">
      <c r="B74" s="923" t="s">
        <v>253</v>
      </c>
      <c r="C74" s="921" t="s">
        <v>1347</v>
      </c>
    </row>
    <row r="75" spans="2:3" ht="12.75" x14ac:dyDescent="0.2">
      <c r="B75" s="923" t="s">
        <v>254</v>
      </c>
      <c r="C75" s="921" t="s">
        <v>1347</v>
      </c>
    </row>
    <row r="76" spans="2:3" ht="12.75" x14ac:dyDescent="0.2">
      <c r="B76" s="923" t="s">
        <v>255</v>
      </c>
      <c r="C76" s="921" t="s">
        <v>1347</v>
      </c>
    </row>
    <row r="77" spans="2:3" ht="12.75" x14ac:dyDescent="0.2">
      <c r="B77" s="923" t="s">
        <v>256</v>
      </c>
      <c r="C77" s="921" t="s">
        <v>1347</v>
      </c>
    </row>
    <row r="78" spans="2:3" ht="12.75" x14ac:dyDescent="0.2">
      <c r="B78" s="923" t="s">
        <v>196</v>
      </c>
      <c r="C78" s="921" t="s">
        <v>1347</v>
      </c>
    </row>
    <row r="79" spans="2:3" ht="12.75" x14ac:dyDescent="0.2">
      <c r="B79" s="923" t="s">
        <v>257</v>
      </c>
      <c r="C79" s="921" t="s">
        <v>1347</v>
      </c>
    </row>
    <row r="80" spans="2:3" ht="12.75" x14ac:dyDescent="0.2">
      <c r="B80" s="923" t="s">
        <v>258</v>
      </c>
      <c r="C80" s="921" t="s">
        <v>1347</v>
      </c>
    </row>
    <row r="81" spans="2:3" ht="12.75" x14ac:dyDescent="0.2">
      <c r="B81" s="923" t="s">
        <v>259</v>
      </c>
      <c r="C81" s="921" t="s">
        <v>1347</v>
      </c>
    </row>
    <row r="82" spans="2:3" ht="12.75" x14ac:dyDescent="0.2">
      <c r="B82" s="923" t="s">
        <v>260</v>
      </c>
      <c r="C82" s="921" t="s">
        <v>1347</v>
      </c>
    </row>
    <row r="83" spans="2:3" ht="12.75" x14ac:dyDescent="0.2">
      <c r="B83" s="923" t="s">
        <v>261</v>
      </c>
      <c r="C83" s="921" t="s">
        <v>1347</v>
      </c>
    </row>
    <row r="84" spans="2:3" ht="12.75" x14ac:dyDescent="0.2">
      <c r="B84" s="923" t="s">
        <v>1073</v>
      </c>
      <c r="C84" s="921" t="s">
        <v>1347</v>
      </c>
    </row>
    <row r="85" spans="2:3" ht="12.75" x14ac:dyDescent="0.2">
      <c r="B85" s="923" t="s">
        <v>197</v>
      </c>
      <c r="C85" s="921" t="s">
        <v>1347</v>
      </c>
    </row>
    <row r="86" spans="2:3" ht="12.75" x14ac:dyDescent="0.2">
      <c r="B86" s="923" t="s">
        <v>262</v>
      </c>
      <c r="C86" s="921" t="s">
        <v>1347</v>
      </c>
    </row>
    <row r="87" spans="2:3" ht="12.75" x14ac:dyDescent="0.2">
      <c r="B87" s="923" t="s">
        <v>263</v>
      </c>
      <c r="C87" s="921" t="s">
        <v>1347</v>
      </c>
    </row>
    <row r="88" spans="2:3" ht="12.75" x14ac:dyDescent="0.2">
      <c r="B88" s="923" t="s">
        <v>264</v>
      </c>
      <c r="C88" s="921" t="s">
        <v>1347</v>
      </c>
    </row>
    <row r="89" spans="2:3" ht="12.75" x14ac:dyDescent="0.2">
      <c r="B89" s="923" t="s">
        <v>265</v>
      </c>
      <c r="C89" s="921" t="s">
        <v>1347</v>
      </c>
    </row>
    <row r="90" spans="2:3" ht="12.75" x14ac:dyDescent="0.2">
      <c r="B90" s="923" t="s">
        <v>198</v>
      </c>
      <c r="C90" s="921" t="s">
        <v>1347</v>
      </c>
    </row>
    <row r="91" spans="2:3" ht="12.75" x14ac:dyDescent="0.2">
      <c r="B91" s="923" t="s">
        <v>1348</v>
      </c>
      <c r="C91" s="921" t="s">
        <v>1349</v>
      </c>
    </row>
    <row r="92" spans="2:3" ht="12.75" x14ac:dyDescent="0.2">
      <c r="B92" s="923" t="s">
        <v>1079</v>
      </c>
      <c r="C92" s="921" t="s">
        <v>1349</v>
      </c>
    </row>
    <row r="93" spans="2:3" ht="12.75" x14ac:dyDescent="0.2">
      <c r="B93" s="923" t="s">
        <v>1080</v>
      </c>
      <c r="C93" s="921" t="s">
        <v>1349</v>
      </c>
    </row>
    <row r="94" spans="2:3" ht="12.75" x14ac:dyDescent="0.2">
      <c r="B94" s="923" t="s">
        <v>266</v>
      </c>
      <c r="C94" s="921" t="s">
        <v>1349</v>
      </c>
    </row>
    <row r="95" spans="2:3" ht="12.75" x14ac:dyDescent="0.2">
      <c r="B95" s="923" t="s">
        <v>267</v>
      </c>
      <c r="C95" s="921" t="s">
        <v>1349</v>
      </c>
    </row>
    <row r="96" spans="2:3" ht="12.75" x14ac:dyDescent="0.2">
      <c r="B96" s="923" t="s">
        <v>268</v>
      </c>
      <c r="C96" s="921" t="s">
        <v>1349</v>
      </c>
    </row>
    <row r="97" spans="2:3" ht="12.75" x14ac:dyDescent="0.2">
      <c r="B97" s="923" t="s">
        <v>219</v>
      </c>
      <c r="C97" s="921" t="s">
        <v>1349</v>
      </c>
    </row>
    <row r="98" spans="2:3" ht="12.75" x14ac:dyDescent="0.2">
      <c r="B98" s="923" t="s">
        <v>269</v>
      </c>
      <c r="C98" s="921" t="s">
        <v>1349</v>
      </c>
    </row>
    <row r="99" spans="2:3" ht="12.75" x14ac:dyDescent="0.2">
      <c r="B99" s="923" t="s">
        <v>992</v>
      </c>
      <c r="C99" s="921" t="s">
        <v>1349</v>
      </c>
    </row>
    <row r="100" spans="2:3" ht="12.75" x14ac:dyDescent="0.2">
      <c r="B100" s="948" t="s">
        <v>1350</v>
      </c>
      <c r="C100" s="921" t="s">
        <v>1349</v>
      </c>
    </row>
    <row r="101" spans="2:3" ht="12.75" x14ac:dyDescent="0.2">
      <c r="B101" s="923" t="s">
        <v>221</v>
      </c>
      <c r="C101" s="921" t="s">
        <v>1349</v>
      </c>
    </row>
    <row r="102" spans="2:3" ht="12.75" x14ac:dyDescent="0.2">
      <c r="B102" s="923" t="s">
        <v>1081</v>
      </c>
      <c r="C102" s="921" t="s">
        <v>1351</v>
      </c>
    </row>
    <row r="103" spans="2:3" ht="12.75" x14ac:dyDescent="0.2">
      <c r="B103" s="923" t="s">
        <v>270</v>
      </c>
      <c r="C103" s="921" t="s">
        <v>1351</v>
      </c>
    </row>
    <row r="104" spans="2:3" ht="12.75" x14ac:dyDescent="0.2">
      <c r="B104" s="923" t="s">
        <v>271</v>
      </c>
      <c r="C104" s="946" t="s">
        <v>1351</v>
      </c>
    </row>
    <row r="105" spans="2:3" ht="12.75" x14ac:dyDescent="0.2">
      <c r="B105" s="923" t="s">
        <v>272</v>
      </c>
      <c r="C105" s="946" t="s">
        <v>1351</v>
      </c>
    </row>
    <row r="106" spans="2:3" ht="12.75" x14ac:dyDescent="0.2">
      <c r="B106" s="923" t="s">
        <v>1123</v>
      </c>
      <c r="C106" s="946" t="s">
        <v>1351</v>
      </c>
    </row>
    <row r="107" spans="2:3" ht="12.75" x14ac:dyDescent="0.2">
      <c r="B107" s="923" t="s">
        <v>199</v>
      </c>
      <c r="C107" s="946" t="s">
        <v>1351</v>
      </c>
    </row>
    <row r="108" spans="2:3" ht="12.75" x14ac:dyDescent="0.2">
      <c r="B108" s="923" t="s">
        <v>273</v>
      </c>
      <c r="C108" s="946" t="s">
        <v>1351</v>
      </c>
    </row>
    <row r="109" spans="2:3" ht="12.75" x14ac:dyDescent="0.2">
      <c r="B109" s="923" t="s">
        <v>274</v>
      </c>
      <c r="C109" s="946" t="s">
        <v>1351</v>
      </c>
    </row>
    <row r="110" spans="2:3" ht="12.75" x14ac:dyDescent="0.2">
      <c r="B110" s="923" t="s">
        <v>275</v>
      </c>
      <c r="C110" s="946" t="s">
        <v>1351</v>
      </c>
    </row>
    <row r="111" spans="2:3" ht="12.75" x14ac:dyDescent="0.2">
      <c r="B111" s="923" t="s">
        <v>276</v>
      </c>
      <c r="C111" s="946" t="s">
        <v>1351</v>
      </c>
    </row>
    <row r="112" spans="2:3" ht="12.75" x14ac:dyDescent="0.2">
      <c r="B112" s="923" t="s">
        <v>277</v>
      </c>
      <c r="C112" s="946" t="s">
        <v>1351</v>
      </c>
    </row>
    <row r="113" spans="2:3" ht="12.75" x14ac:dyDescent="0.2">
      <c r="B113" s="923" t="s">
        <v>278</v>
      </c>
      <c r="C113" s="946" t="s">
        <v>1351</v>
      </c>
    </row>
    <row r="114" spans="2:3" ht="12.75" x14ac:dyDescent="0.2">
      <c r="B114" s="923" t="s">
        <v>279</v>
      </c>
      <c r="C114" s="946" t="s">
        <v>1351</v>
      </c>
    </row>
    <row r="115" spans="2:3" ht="12.75" x14ac:dyDescent="0.2">
      <c r="B115" s="923" t="s">
        <v>200</v>
      </c>
      <c r="C115" s="946" t="s">
        <v>1351</v>
      </c>
    </row>
    <row r="116" spans="2:3" ht="12.75" x14ac:dyDescent="0.2">
      <c r="B116" s="923" t="s">
        <v>280</v>
      </c>
      <c r="C116" s="946" t="s">
        <v>1351</v>
      </c>
    </row>
    <row r="117" spans="2:3" ht="12.75" x14ac:dyDescent="0.2">
      <c r="B117" s="948" t="s">
        <v>1118</v>
      </c>
      <c r="C117" s="946" t="s">
        <v>1351</v>
      </c>
    </row>
    <row r="118" spans="2:3" ht="12.75" x14ac:dyDescent="0.2">
      <c r="B118" s="948" t="s">
        <v>1119</v>
      </c>
      <c r="C118" s="946" t="s">
        <v>1351</v>
      </c>
    </row>
    <row r="119" spans="2:3" ht="12.75" x14ac:dyDescent="0.2">
      <c r="B119" s="923" t="s">
        <v>201</v>
      </c>
      <c r="C119" s="946" t="s">
        <v>1351</v>
      </c>
    </row>
    <row r="120" spans="2:3" ht="12.75" x14ac:dyDescent="0.2">
      <c r="B120" s="923" t="s">
        <v>281</v>
      </c>
      <c r="C120" s="946" t="s">
        <v>1351</v>
      </c>
    </row>
    <row r="121" spans="2:3" ht="12.75" x14ac:dyDescent="0.2">
      <c r="B121" s="923" t="s">
        <v>282</v>
      </c>
      <c r="C121" s="946" t="s">
        <v>1351</v>
      </c>
    </row>
    <row r="122" spans="2:3" ht="12.75" x14ac:dyDescent="0.2">
      <c r="B122" s="923" t="s">
        <v>283</v>
      </c>
      <c r="C122" s="946" t="s">
        <v>1351</v>
      </c>
    </row>
    <row r="123" spans="2:3" ht="12.75" x14ac:dyDescent="0.2">
      <c r="B123" s="923" t="s">
        <v>285</v>
      </c>
      <c r="C123" s="946" t="s">
        <v>1351</v>
      </c>
    </row>
    <row r="124" spans="2:3" ht="12.75" x14ac:dyDescent="0.2">
      <c r="B124" s="923" t="s">
        <v>202</v>
      </c>
      <c r="C124" s="921" t="s">
        <v>1351</v>
      </c>
    </row>
    <row r="125" spans="2:3" ht="12.75" x14ac:dyDescent="0.2">
      <c r="B125" s="923" t="s">
        <v>286</v>
      </c>
      <c r="C125" s="921" t="s">
        <v>1351</v>
      </c>
    </row>
    <row r="126" spans="2:3" ht="12.75" x14ac:dyDescent="0.2">
      <c r="B126" s="923" t="s">
        <v>1352</v>
      </c>
      <c r="C126" s="921" t="s">
        <v>1351</v>
      </c>
    </row>
    <row r="127" spans="2:3" ht="12.75" x14ac:dyDescent="0.2">
      <c r="B127" s="923" t="s">
        <v>287</v>
      </c>
      <c r="C127" s="921" t="s">
        <v>1351</v>
      </c>
    </row>
    <row r="128" spans="2:3" ht="12.75" x14ac:dyDescent="0.2">
      <c r="B128" s="923" t="s">
        <v>203</v>
      </c>
      <c r="C128" s="921" t="s">
        <v>1351</v>
      </c>
    </row>
    <row r="129" spans="2:3" ht="12.75" x14ac:dyDescent="0.2">
      <c r="B129" s="923" t="s">
        <v>288</v>
      </c>
      <c r="C129" s="921" t="s">
        <v>1351</v>
      </c>
    </row>
    <row r="130" spans="2:3" ht="12.75" x14ac:dyDescent="0.2">
      <c r="B130" s="923" t="s">
        <v>289</v>
      </c>
      <c r="C130" s="921" t="s">
        <v>1351</v>
      </c>
    </row>
    <row r="131" spans="2:3" ht="12.75" x14ac:dyDescent="0.2">
      <c r="B131" s="923" t="s">
        <v>290</v>
      </c>
      <c r="C131" s="921" t="s">
        <v>1351</v>
      </c>
    </row>
    <row r="132" spans="2:3" ht="12.75" x14ac:dyDescent="0.2">
      <c r="B132" s="923" t="s">
        <v>291</v>
      </c>
      <c r="C132" s="921" t="s">
        <v>1351</v>
      </c>
    </row>
    <row r="133" spans="2:3" ht="12.75" x14ac:dyDescent="0.2">
      <c r="B133" s="923" t="s">
        <v>292</v>
      </c>
      <c r="C133" s="921" t="s">
        <v>1351</v>
      </c>
    </row>
    <row r="134" spans="2:3" ht="12.75" x14ac:dyDescent="0.2">
      <c r="B134" s="923" t="s">
        <v>204</v>
      </c>
      <c r="C134" s="892" t="s">
        <v>1351</v>
      </c>
    </row>
    <row r="135" spans="2:3" ht="12.75" x14ac:dyDescent="0.2">
      <c r="B135" s="923" t="s">
        <v>293</v>
      </c>
      <c r="C135" s="892" t="s">
        <v>1351</v>
      </c>
    </row>
    <row r="136" spans="2:3" ht="12.75" x14ac:dyDescent="0.2">
      <c r="B136" s="923" t="s">
        <v>294</v>
      </c>
      <c r="C136" s="892" t="s">
        <v>1351</v>
      </c>
    </row>
    <row r="137" spans="2:3" ht="12.75" x14ac:dyDescent="0.2">
      <c r="B137" s="923" t="s">
        <v>295</v>
      </c>
      <c r="C137" s="892" t="s">
        <v>1351</v>
      </c>
    </row>
    <row r="138" spans="2:3" ht="12.75" x14ac:dyDescent="0.2">
      <c r="B138" s="948" t="s">
        <v>1353</v>
      </c>
      <c r="C138" s="892" t="s">
        <v>1351</v>
      </c>
    </row>
    <row r="139" spans="2:3" ht="12.75" x14ac:dyDescent="0.2">
      <c r="B139" s="923" t="s">
        <v>205</v>
      </c>
      <c r="C139" s="892" t="s">
        <v>1351</v>
      </c>
    </row>
    <row r="140" spans="2:3" ht="12.75" x14ac:dyDescent="0.2">
      <c r="B140" s="923" t="s">
        <v>993</v>
      </c>
      <c r="C140" s="892" t="s">
        <v>1351</v>
      </c>
    </row>
    <row r="141" spans="2:3" ht="12.75" x14ac:dyDescent="0.2">
      <c r="B141" s="923" t="s">
        <v>296</v>
      </c>
      <c r="C141" s="892" t="s">
        <v>1351</v>
      </c>
    </row>
    <row r="142" spans="2:3" ht="12.75" x14ac:dyDescent="0.2">
      <c r="B142" s="923" t="s">
        <v>994</v>
      </c>
      <c r="C142" s="892" t="s">
        <v>1351</v>
      </c>
    </row>
    <row r="143" spans="2:3" ht="12.75" x14ac:dyDescent="0.2">
      <c r="B143" s="923" t="s">
        <v>297</v>
      </c>
      <c r="C143" s="892" t="s">
        <v>1351</v>
      </c>
    </row>
    <row r="144" spans="2:3" ht="12.75" x14ac:dyDescent="0.2">
      <c r="B144" s="923" t="s">
        <v>298</v>
      </c>
      <c r="C144" s="892" t="s">
        <v>1351</v>
      </c>
    </row>
    <row r="145" spans="2:3" ht="12.75" x14ac:dyDescent="0.2">
      <c r="B145" s="923" t="s">
        <v>1120</v>
      </c>
      <c r="C145" s="892" t="s">
        <v>1351</v>
      </c>
    </row>
    <row r="146" spans="2:3" ht="12.75" x14ac:dyDescent="0.2">
      <c r="B146" s="923" t="s">
        <v>299</v>
      </c>
      <c r="C146" s="892" t="s">
        <v>1351</v>
      </c>
    </row>
    <row r="147" spans="2:3" ht="12.75" x14ac:dyDescent="0.2">
      <c r="B147" s="923" t="s">
        <v>300</v>
      </c>
      <c r="C147" s="892" t="s">
        <v>1351</v>
      </c>
    </row>
    <row r="148" spans="2:3" ht="12.75" x14ac:dyDescent="0.2">
      <c r="B148" s="923" t="s">
        <v>301</v>
      </c>
      <c r="C148" s="892" t="s">
        <v>1351</v>
      </c>
    </row>
    <row r="149" spans="2:3" ht="12.75" x14ac:dyDescent="0.2">
      <c r="B149" s="923" t="s">
        <v>302</v>
      </c>
      <c r="C149" s="892" t="s">
        <v>1351</v>
      </c>
    </row>
    <row r="150" spans="2:3" ht="12.75" x14ac:dyDescent="0.2">
      <c r="B150" s="923" t="s">
        <v>206</v>
      </c>
      <c r="C150" s="892" t="s">
        <v>1351</v>
      </c>
    </row>
    <row r="151" spans="2:3" ht="12.75" x14ac:dyDescent="0.2">
      <c r="B151" s="923" t="s">
        <v>303</v>
      </c>
      <c r="C151" s="892" t="s">
        <v>1351</v>
      </c>
    </row>
    <row r="152" spans="2:3" ht="12.75" x14ac:dyDescent="0.2">
      <c r="B152" s="923" t="s">
        <v>304</v>
      </c>
      <c r="C152" s="892" t="s">
        <v>1351</v>
      </c>
    </row>
    <row r="153" spans="2:3" ht="12.75" x14ac:dyDescent="0.2">
      <c r="B153" s="923" t="s">
        <v>305</v>
      </c>
      <c r="C153" s="892" t="s">
        <v>1351</v>
      </c>
    </row>
    <row r="154" spans="2:3" ht="12.75" x14ac:dyDescent="0.2">
      <c r="B154" s="948" t="s">
        <v>1121</v>
      </c>
      <c r="C154" s="892" t="s">
        <v>1351</v>
      </c>
    </row>
    <row r="155" spans="2:3" ht="12.75" x14ac:dyDescent="0.2">
      <c r="B155" s="923" t="s">
        <v>1112</v>
      </c>
      <c r="C155" s="892" t="s">
        <v>1351</v>
      </c>
    </row>
    <row r="156" spans="2:3" ht="12.75" x14ac:dyDescent="0.2">
      <c r="B156" s="923" t="s">
        <v>306</v>
      </c>
      <c r="C156" s="892" t="s">
        <v>1354</v>
      </c>
    </row>
    <row r="157" spans="2:3" ht="12.75" x14ac:dyDescent="0.2">
      <c r="B157" s="923" t="s">
        <v>307</v>
      </c>
      <c r="C157" s="892" t="s">
        <v>1354</v>
      </c>
    </row>
    <row r="158" spans="2:3" ht="12.75" x14ac:dyDescent="0.2">
      <c r="B158" s="923" t="s">
        <v>308</v>
      </c>
      <c r="C158" s="892" t="s">
        <v>1354</v>
      </c>
    </row>
    <row r="159" spans="2:3" ht="12.75" x14ac:dyDescent="0.2">
      <c r="B159" s="923" t="s">
        <v>309</v>
      </c>
      <c r="C159" s="892" t="s">
        <v>1354</v>
      </c>
    </row>
    <row r="160" spans="2:3" ht="12.75" x14ac:dyDescent="0.2">
      <c r="B160" s="923" t="s">
        <v>310</v>
      </c>
      <c r="C160" s="892" t="s">
        <v>1354</v>
      </c>
    </row>
    <row r="161" spans="2:3" ht="12.75" x14ac:dyDescent="0.2">
      <c r="B161" s="923" t="s">
        <v>211</v>
      </c>
      <c r="C161" s="892" t="s">
        <v>1354</v>
      </c>
    </row>
    <row r="162" spans="2:3" ht="12.75" x14ac:dyDescent="0.2">
      <c r="B162" s="923" t="s">
        <v>311</v>
      </c>
      <c r="C162" s="892" t="s">
        <v>1354</v>
      </c>
    </row>
    <row r="163" spans="2:3" ht="12.75" x14ac:dyDescent="0.2">
      <c r="B163" s="923" t="s">
        <v>312</v>
      </c>
      <c r="C163" s="892" t="s">
        <v>1354</v>
      </c>
    </row>
    <row r="164" spans="2:3" ht="12.75" x14ac:dyDescent="0.2">
      <c r="B164" s="923" t="s">
        <v>313</v>
      </c>
      <c r="C164" s="892" t="s">
        <v>1354</v>
      </c>
    </row>
    <row r="165" spans="2:3" ht="12.75" x14ac:dyDescent="0.2">
      <c r="B165" s="948" t="s">
        <v>1355</v>
      </c>
      <c r="C165" s="892" t="s">
        <v>1354</v>
      </c>
    </row>
    <row r="166" spans="2:3" ht="12.75" x14ac:dyDescent="0.2">
      <c r="B166" s="923" t="s">
        <v>212</v>
      </c>
      <c r="C166" s="892" t="s">
        <v>1354</v>
      </c>
    </row>
    <row r="167" spans="2:3" ht="12.75" x14ac:dyDescent="0.2">
      <c r="B167" s="923" t="s">
        <v>314</v>
      </c>
      <c r="C167" s="892" t="s">
        <v>1354</v>
      </c>
    </row>
    <row r="168" spans="2:3" ht="12.75" x14ac:dyDescent="0.2">
      <c r="B168" s="923" t="s">
        <v>315</v>
      </c>
      <c r="C168" s="892" t="s">
        <v>1354</v>
      </c>
    </row>
    <row r="169" spans="2:3" ht="12.75" x14ac:dyDescent="0.2">
      <c r="B169" s="923" t="s">
        <v>316</v>
      </c>
      <c r="C169" s="892" t="s">
        <v>1354</v>
      </c>
    </row>
    <row r="170" spans="2:3" ht="12.75" x14ac:dyDescent="0.2">
      <c r="B170" s="923" t="s">
        <v>317</v>
      </c>
      <c r="C170" s="892" t="s">
        <v>1354</v>
      </c>
    </row>
    <row r="171" spans="2:3" ht="12.75" x14ac:dyDescent="0.2">
      <c r="B171" s="923" t="s">
        <v>213</v>
      </c>
      <c r="C171" s="892" t="s">
        <v>1354</v>
      </c>
    </row>
    <row r="172" spans="2:3" ht="12.75" x14ac:dyDescent="0.2">
      <c r="B172" s="923" t="s">
        <v>318</v>
      </c>
      <c r="C172" s="892" t="s">
        <v>1354</v>
      </c>
    </row>
    <row r="173" spans="2:3" ht="12.75" x14ac:dyDescent="0.2">
      <c r="B173" s="923" t="s">
        <v>319</v>
      </c>
      <c r="C173" s="892" t="s">
        <v>1354</v>
      </c>
    </row>
    <row r="174" spans="2:3" ht="12.75" x14ac:dyDescent="0.2">
      <c r="B174" s="923" t="s">
        <v>320</v>
      </c>
      <c r="C174" s="892" t="s">
        <v>1354</v>
      </c>
    </row>
    <row r="175" spans="2:3" ht="12.75" x14ac:dyDescent="0.2">
      <c r="B175" s="923" t="s">
        <v>321</v>
      </c>
      <c r="C175" s="892" t="s">
        <v>1354</v>
      </c>
    </row>
    <row r="176" spans="2:3" ht="12.75" x14ac:dyDescent="0.2">
      <c r="B176" s="948" t="s">
        <v>1356</v>
      </c>
      <c r="C176" s="892" t="s">
        <v>1354</v>
      </c>
    </row>
    <row r="177" spans="2:3" ht="12.75" x14ac:dyDescent="0.2">
      <c r="B177" s="923" t="s">
        <v>214</v>
      </c>
      <c r="C177" s="892" t="s">
        <v>1354</v>
      </c>
    </row>
    <row r="178" spans="2:3" ht="12.75" x14ac:dyDescent="0.2">
      <c r="B178" s="923" t="s">
        <v>995</v>
      </c>
      <c r="C178" s="921" t="s">
        <v>1354</v>
      </c>
    </row>
    <row r="179" spans="2:3" ht="12.75" x14ac:dyDescent="0.2">
      <c r="B179" s="923" t="s">
        <v>322</v>
      </c>
      <c r="C179" s="921" t="s">
        <v>1354</v>
      </c>
    </row>
    <row r="180" spans="2:3" ht="12.75" x14ac:dyDescent="0.2">
      <c r="B180" s="923" t="s">
        <v>996</v>
      </c>
      <c r="C180" s="921" t="s">
        <v>1354</v>
      </c>
    </row>
    <row r="181" spans="2:3" ht="12.75" x14ac:dyDescent="0.2">
      <c r="B181" s="948" t="s">
        <v>1357</v>
      </c>
      <c r="C181" s="921" t="s">
        <v>1354</v>
      </c>
    </row>
    <row r="182" spans="2:3" ht="12.75" x14ac:dyDescent="0.2">
      <c r="B182" s="923" t="s">
        <v>1069</v>
      </c>
      <c r="C182" s="921" t="s">
        <v>1354</v>
      </c>
    </row>
    <row r="183" spans="2:3" ht="12.75" x14ac:dyDescent="0.2">
      <c r="B183" s="923" t="s">
        <v>323</v>
      </c>
      <c r="C183" s="921" t="s">
        <v>1358</v>
      </c>
    </row>
    <row r="184" spans="2:3" ht="12.75" x14ac:dyDescent="0.2">
      <c r="B184" s="923" t="s">
        <v>324</v>
      </c>
      <c r="C184" s="921" t="s">
        <v>1358</v>
      </c>
    </row>
    <row r="185" spans="2:3" ht="12.75" x14ac:dyDescent="0.2">
      <c r="B185" s="923" t="s">
        <v>325</v>
      </c>
      <c r="C185" s="921" t="s">
        <v>1358</v>
      </c>
    </row>
    <row r="186" spans="2:3" ht="12.75" x14ac:dyDescent="0.2">
      <c r="B186" s="923" t="s">
        <v>997</v>
      </c>
      <c r="C186" s="921" t="s">
        <v>1358</v>
      </c>
    </row>
    <row r="187" spans="2:3" ht="12.75" x14ac:dyDescent="0.2">
      <c r="B187" s="923" t="s">
        <v>326</v>
      </c>
      <c r="C187" s="921" t="s">
        <v>1358</v>
      </c>
    </row>
    <row r="188" spans="2:3" ht="12.75" x14ac:dyDescent="0.2">
      <c r="B188" s="923" t="s">
        <v>327</v>
      </c>
      <c r="C188" s="921" t="s">
        <v>1358</v>
      </c>
    </row>
    <row r="189" spans="2:3" ht="12.75" x14ac:dyDescent="0.2">
      <c r="B189" s="923" t="s">
        <v>328</v>
      </c>
      <c r="C189" s="921" t="s">
        <v>1358</v>
      </c>
    </row>
    <row r="190" spans="2:3" ht="12.75" x14ac:dyDescent="0.2">
      <c r="B190" s="923" t="s">
        <v>208</v>
      </c>
      <c r="C190" s="921" t="s">
        <v>1358</v>
      </c>
    </row>
    <row r="191" spans="2:3" ht="12.75" x14ac:dyDescent="0.2">
      <c r="B191" s="923" t="s">
        <v>998</v>
      </c>
      <c r="C191" s="921" t="s">
        <v>1358</v>
      </c>
    </row>
    <row r="192" spans="2:3" ht="12.75" x14ac:dyDescent="0.2">
      <c r="B192" s="923" t="s">
        <v>1074</v>
      </c>
      <c r="C192" s="921" t="s">
        <v>1358</v>
      </c>
    </row>
    <row r="193" spans="2:3" ht="12.75" x14ac:dyDescent="0.2">
      <c r="B193" s="923" t="s">
        <v>329</v>
      </c>
      <c r="C193" s="921" t="s">
        <v>1358</v>
      </c>
    </row>
    <row r="194" spans="2:3" ht="12.75" x14ac:dyDescent="0.2">
      <c r="B194" s="923" t="s">
        <v>330</v>
      </c>
      <c r="C194" s="921" t="s">
        <v>1358</v>
      </c>
    </row>
    <row r="195" spans="2:3" ht="12.75" x14ac:dyDescent="0.2">
      <c r="B195" s="923" t="s">
        <v>1075</v>
      </c>
      <c r="C195" s="921" t="s">
        <v>1358</v>
      </c>
    </row>
    <row r="196" spans="2:3" ht="12.75" x14ac:dyDescent="0.2">
      <c r="B196" s="923" t="s">
        <v>331</v>
      </c>
      <c r="C196" s="921" t="s">
        <v>1358</v>
      </c>
    </row>
    <row r="197" spans="2:3" ht="12.75" x14ac:dyDescent="0.2">
      <c r="B197" s="923" t="s">
        <v>209</v>
      </c>
      <c r="C197" s="921" t="s">
        <v>1358</v>
      </c>
    </row>
    <row r="198" spans="2:3" ht="12.75" x14ac:dyDescent="0.2">
      <c r="B198" s="923" t="s">
        <v>332</v>
      </c>
      <c r="C198" s="921" t="s">
        <v>1358</v>
      </c>
    </row>
    <row r="199" spans="2:3" ht="12.75" x14ac:dyDescent="0.2">
      <c r="B199" s="923" t="s">
        <v>333</v>
      </c>
      <c r="C199" s="921" t="s">
        <v>1358</v>
      </c>
    </row>
    <row r="200" spans="2:3" ht="12.75" x14ac:dyDescent="0.2">
      <c r="B200" s="923" t="s">
        <v>334</v>
      </c>
      <c r="C200" s="921" t="s">
        <v>1358</v>
      </c>
    </row>
    <row r="201" spans="2:3" ht="12.75" x14ac:dyDescent="0.2">
      <c r="B201" s="948" t="s">
        <v>1122</v>
      </c>
      <c r="C201" s="921" t="s">
        <v>1358</v>
      </c>
    </row>
    <row r="202" spans="2:3" ht="12.75" x14ac:dyDescent="0.2">
      <c r="B202" s="923" t="s">
        <v>210</v>
      </c>
      <c r="C202" s="921" t="s">
        <v>1358</v>
      </c>
    </row>
    <row r="203" spans="2:3" ht="12.75" x14ac:dyDescent="0.2">
      <c r="B203" s="923" t="s">
        <v>999</v>
      </c>
      <c r="C203" s="921" t="s">
        <v>1359</v>
      </c>
    </row>
    <row r="204" spans="2:3" ht="12.75" x14ac:dyDescent="0.2">
      <c r="B204" s="923" t="s">
        <v>391</v>
      </c>
      <c r="C204" s="921" t="s">
        <v>1359</v>
      </c>
    </row>
    <row r="205" spans="2:3" ht="12.75" x14ac:dyDescent="0.2">
      <c r="B205" s="923" t="s">
        <v>392</v>
      </c>
      <c r="C205" s="921" t="s">
        <v>1359</v>
      </c>
    </row>
    <row r="206" spans="2:3" ht="12.75" x14ac:dyDescent="0.2">
      <c r="B206" s="923" t="s">
        <v>990</v>
      </c>
      <c r="C206" s="921" t="s">
        <v>1359</v>
      </c>
    </row>
    <row r="207" spans="2:3" ht="12.75" x14ac:dyDescent="0.2">
      <c r="B207" s="923" t="s">
        <v>335</v>
      </c>
      <c r="C207" s="921" t="s">
        <v>1359</v>
      </c>
    </row>
    <row r="208" spans="2:3" ht="12.75" x14ac:dyDescent="0.2">
      <c r="B208" s="923" t="s">
        <v>336</v>
      </c>
      <c r="C208" s="921" t="s">
        <v>1359</v>
      </c>
    </row>
    <row r="209" spans="2:3" ht="12.75" x14ac:dyDescent="0.2">
      <c r="B209" s="923" t="s">
        <v>337</v>
      </c>
      <c r="C209" s="921" t="s">
        <v>1359</v>
      </c>
    </row>
    <row r="210" spans="2:3" ht="12.75" x14ac:dyDescent="0.2">
      <c r="B210" s="923" t="s">
        <v>338</v>
      </c>
      <c r="C210" s="921" t="s">
        <v>1359</v>
      </c>
    </row>
    <row r="211" spans="2:3" ht="12.75" x14ac:dyDescent="0.2">
      <c r="B211" s="923" t="s">
        <v>339</v>
      </c>
      <c r="C211" s="921" t="s">
        <v>1359</v>
      </c>
    </row>
    <row r="212" spans="2:3" ht="12.75" x14ac:dyDescent="0.2">
      <c r="B212" s="923" t="s">
        <v>340</v>
      </c>
      <c r="C212" s="921" t="s">
        <v>1359</v>
      </c>
    </row>
    <row r="213" spans="2:3" ht="12.75" x14ac:dyDescent="0.2">
      <c r="B213" s="923" t="s">
        <v>223</v>
      </c>
      <c r="C213" s="921" t="s">
        <v>1359</v>
      </c>
    </row>
    <row r="214" spans="2:3" ht="12.75" x14ac:dyDescent="0.2">
      <c r="B214" s="923" t="s">
        <v>341</v>
      </c>
      <c r="C214" s="921" t="s">
        <v>1359</v>
      </c>
    </row>
    <row r="215" spans="2:3" ht="12.75" x14ac:dyDescent="0.2">
      <c r="B215" s="923" t="s">
        <v>342</v>
      </c>
      <c r="C215" s="921" t="s">
        <v>1359</v>
      </c>
    </row>
    <row r="216" spans="2:3" ht="12.75" x14ac:dyDescent="0.2">
      <c r="B216" s="923" t="s">
        <v>343</v>
      </c>
      <c r="C216" s="921" t="s">
        <v>1359</v>
      </c>
    </row>
    <row r="217" spans="2:3" ht="12.75" x14ac:dyDescent="0.2">
      <c r="B217" s="923" t="s">
        <v>378</v>
      </c>
      <c r="C217" s="921" t="s">
        <v>1359</v>
      </c>
    </row>
    <row r="218" spans="2:3" ht="12.75" x14ac:dyDescent="0.2">
      <c r="B218" s="923" t="s">
        <v>379</v>
      </c>
      <c r="C218" s="921" t="s">
        <v>1359</v>
      </c>
    </row>
    <row r="219" spans="2:3" ht="12.75" x14ac:dyDescent="0.2">
      <c r="B219" s="923" t="s">
        <v>380</v>
      </c>
      <c r="C219" s="921" t="s">
        <v>1359</v>
      </c>
    </row>
    <row r="220" spans="2:3" ht="12.75" x14ac:dyDescent="0.2">
      <c r="B220" s="923" t="s">
        <v>381</v>
      </c>
      <c r="C220" s="921" t="s">
        <v>1359</v>
      </c>
    </row>
    <row r="221" spans="2:3" ht="12.75" x14ac:dyDescent="0.2">
      <c r="B221" s="923" t="s">
        <v>382</v>
      </c>
      <c r="C221" s="921" t="s">
        <v>1359</v>
      </c>
    </row>
    <row r="222" spans="2:3" ht="12.75" x14ac:dyDescent="0.2">
      <c r="B222" s="923" t="s">
        <v>1070</v>
      </c>
      <c r="C222" s="921" t="s">
        <v>1359</v>
      </c>
    </row>
    <row r="223" spans="2:3" ht="12.75" x14ac:dyDescent="0.2">
      <c r="B223" s="923" t="s">
        <v>383</v>
      </c>
      <c r="C223" s="921" t="s">
        <v>1359</v>
      </c>
    </row>
    <row r="224" spans="2:3" ht="12.75" x14ac:dyDescent="0.2">
      <c r="B224" s="923" t="s">
        <v>384</v>
      </c>
      <c r="C224" s="921" t="s">
        <v>1359</v>
      </c>
    </row>
    <row r="225" spans="2:3" ht="12.75" x14ac:dyDescent="0.2">
      <c r="B225" s="923" t="s">
        <v>385</v>
      </c>
      <c r="C225" s="921" t="s">
        <v>1359</v>
      </c>
    </row>
    <row r="226" spans="2:3" ht="12.75" x14ac:dyDescent="0.2">
      <c r="B226" s="923" t="s">
        <v>386</v>
      </c>
      <c r="C226" s="921" t="s">
        <v>1359</v>
      </c>
    </row>
    <row r="227" spans="2:3" ht="12.75" x14ac:dyDescent="0.2">
      <c r="B227" s="948" t="s">
        <v>1360</v>
      </c>
      <c r="C227" s="921" t="s">
        <v>1359</v>
      </c>
    </row>
    <row r="228" spans="2:3" ht="12.75" x14ac:dyDescent="0.2">
      <c r="B228" s="923" t="s">
        <v>1113</v>
      </c>
      <c r="C228" s="921" t="s">
        <v>1359</v>
      </c>
    </row>
    <row r="229" spans="2:3" ht="12.75" x14ac:dyDescent="0.2">
      <c r="B229" s="923" t="s">
        <v>387</v>
      </c>
      <c r="C229" s="921" t="s">
        <v>1359</v>
      </c>
    </row>
    <row r="230" spans="2:3" ht="12.75" x14ac:dyDescent="0.2">
      <c r="B230" s="923" t="s">
        <v>388</v>
      </c>
      <c r="C230" s="921" t="s">
        <v>1359</v>
      </c>
    </row>
    <row r="231" spans="2:3" ht="12.75" x14ac:dyDescent="0.2">
      <c r="B231" s="923" t="s">
        <v>389</v>
      </c>
      <c r="C231" s="921" t="s">
        <v>1359</v>
      </c>
    </row>
    <row r="232" spans="2:3" ht="12.75" x14ac:dyDescent="0.2">
      <c r="B232" s="923" t="s">
        <v>390</v>
      </c>
      <c r="C232" s="921" t="s">
        <v>1359</v>
      </c>
    </row>
    <row r="233" spans="2:3" ht="12.75" x14ac:dyDescent="0.2">
      <c r="B233" s="923" t="s">
        <v>224</v>
      </c>
      <c r="C233" s="921" t="s">
        <v>1359</v>
      </c>
    </row>
    <row r="234" spans="2:3" ht="12.75" x14ac:dyDescent="0.2">
      <c r="B234" s="923" t="s">
        <v>393</v>
      </c>
      <c r="C234" s="921" t="s">
        <v>1361</v>
      </c>
    </row>
    <row r="235" spans="2:3" ht="12.75" x14ac:dyDescent="0.2">
      <c r="B235" s="923" t="s">
        <v>394</v>
      </c>
      <c r="C235" s="921" t="s">
        <v>1361</v>
      </c>
    </row>
    <row r="236" spans="2:3" ht="12.75" x14ac:dyDescent="0.2">
      <c r="B236" s="923" t="s">
        <v>395</v>
      </c>
      <c r="C236" s="921" t="s">
        <v>1361</v>
      </c>
    </row>
    <row r="237" spans="2:3" ht="12.75" x14ac:dyDescent="0.2">
      <c r="B237" s="923" t="s">
        <v>396</v>
      </c>
      <c r="C237" s="921" t="s">
        <v>1361</v>
      </c>
    </row>
    <row r="238" spans="2:3" ht="12.75" x14ac:dyDescent="0.2">
      <c r="B238" s="923" t="s">
        <v>397</v>
      </c>
      <c r="C238" s="921" t="s">
        <v>1361</v>
      </c>
    </row>
    <row r="239" spans="2:3" ht="12.75" x14ac:dyDescent="0.2">
      <c r="B239" s="923" t="s">
        <v>215</v>
      </c>
      <c r="C239" s="921" t="s">
        <v>1361</v>
      </c>
    </row>
    <row r="240" spans="2:3" ht="12.75" x14ac:dyDescent="0.2">
      <c r="B240" s="923" t="s">
        <v>398</v>
      </c>
      <c r="C240" s="921" t="s">
        <v>1361</v>
      </c>
    </row>
    <row r="241" spans="2:3" ht="12.75" x14ac:dyDescent="0.2">
      <c r="B241" s="923" t="s">
        <v>399</v>
      </c>
      <c r="C241" s="921" t="s">
        <v>1361</v>
      </c>
    </row>
    <row r="242" spans="2:3" ht="12.75" x14ac:dyDescent="0.2">
      <c r="B242" s="923" t="s">
        <v>400</v>
      </c>
      <c r="C242" s="921" t="s">
        <v>1361</v>
      </c>
    </row>
    <row r="243" spans="2:3" ht="12.75" x14ac:dyDescent="0.2">
      <c r="B243" s="923" t="s">
        <v>401</v>
      </c>
      <c r="C243" s="921" t="s">
        <v>1361</v>
      </c>
    </row>
    <row r="244" spans="2:3" ht="12.75" x14ac:dyDescent="0.2">
      <c r="B244" s="923" t="s">
        <v>402</v>
      </c>
      <c r="C244" s="921" t="s">
        <v>1361</v>
      </c>
    </row>
    <row r="245" spans="2:3" ht="12.75" x14ac:dyDescent="0.2">
      <c r="B245" s="923" t="s">
        <v>216</v>
      </c>
      <c r="C245" s="921" t="s">
        <v>1361</v>
      </c>
    </row>
    <row r="246" spans="2:3" ht="12.75" x14ac:dyDescent="0.2">
      <c r="B246" s="923" t="s">
        <v>403</v>
      </c>
      <c r="C246" s="921" t="s">
        <v>1361</v>
      </c>
    </row>
    <row r="247" spans="2:3" ht="12.75" x14ac:dyDescent="0.2">
      <c r="B247" s="923" t="s">
        <v>404</v>
      </c>
      <c r="C247" s="921" t="s">
        <v>1361</v>
      </c>
    </row>
    <row r="248" spans="2:3" ht="12.75" x14ac:dyDescent="0.2">
      <c r="B248" s="923" t="s">
        <v>405</v>
      </c>
      <c r="C248" s="921" t="s">
        <v>1361</v>
      </c>
    </row>
    <row r="249" spans="2:3" ht="12.75" x14ac:dyDescent="0.2">
      <c r="B249" s="923" t="s">
        <v>406</v>
      </c>
      <c r="C249" s="921" t="s">
        <v>1361</v>
      </c>
    </row>
    <row r="250" spans="2:3" ht="12.75" x14ac:dyDescent="0.2">
      <c r="B250" s="923" t="s">
        <v>1114</v>
      </c>
      <c r="C250" s="921" t="s">
        <v>1361</v>
      </c>
    </row>
    <row r="251" spans="2:3" ht="12.75" x14ac:dyDescent="0.2">
      <c r="B251" s="923" t="s">
        <v>217</v>
      </c>
      <c r="C251" s="921" t="s">
        <v>1361</v>
      </c>
    </row>
    <row r="252" spans="2:3" ht="12.75" x14ac:dyDescent="0.2">
      <c r="B252" s="923" t="s">
        <v>407</v>
      </c>
      <c r="C252" s="921" t="s">
        <v>1361</v>
      </c>
    </row>
    <row r="253" spans="2:3" ht="12.75" x14ac:dyDescent="0.2">
      <c r="B253" s="923" t="s">
        <v>408</v>
      </c>
      <c r="C253" s="921" t="s">
        <v>1361</v>
      </c>
    </row>
    <row r="254" spans="2:3" ht="12.75" x14ac:dyDescent="0.2">
      <c r="B254" s="948" t="s">
        <v>1362</v>
      </c>
      <c r="C254" s="921" t="s">
        <v>1361</v>
      </c>
    </row>
    <row r="255" spans="2:3" ht="12.75" x14ac:dyDescent="0.2">
      <c r="B255" s="923" t="s">
        <v>218</v>
      </c>
      <c r="C255" s="921" t="s">
        <v>1361</v>
      </c>
    </row>
    <row r="256" spans="2:3" ht="12.75" x14ac:dyDescent="0.2">
      <c r="B256" s="923" t="s">
        <v>1082</v>
      </c>
      <c r="C256" s="921" t="s">
        <v>1363</v>
      </c>
    </row>
    <row r="257" spans="2:3" ht="12.75" x14ac:dyDescent="0.2">
      <c r="B257" s="923" t="s">
        <v>409</v>
      </c>
      <c r="C257" s="921" t="s">
        <v>1363</v>
      </c>
    </row>
    <row r="258" spans="2:3" ht="12.75" x14ac:dyDescent="0.2">
      <c r="B258" s="923" t="s">
        <v>410</v>
      </c>
      <c r="C258" s="921" t="s">
        <v>1363</v>
      </c>
    </row>
    <row r="259" spans="2:3" ht="12.75" x14ac:dyDescent="0.2">
      <c r="B259" s="923" t="s">
        <v>411</v>
      </c>
      <c r="C259" s="921" t="s">
        <v>1363</v>
      </c>
    </row>
    <row r="260" spans="2:3" ht="12.75" x14ac:dyDescent="0.2">
      <c r="B260" s="923" t="s">
        <v>412</v>
      </c>
      <c r="C260" s="921" t="s">
        <v>1363</v>
      </c>
    </row>
    <row r="261" spans="2:3" ht="12.75" x14ac:dyDescent="0.2">
      <c r="B261" s="923" t="s">
        <v>413</v>
      </c>
      <c r="C261" s="921" t="s">
        <v>1363</v>
      </c>
    </row>
    <row r="262" spans="2:3" ht="12.75" x14ac:dyDescent="0.2">
      <c r="B262" s="923" t="s">
        <v>191</v>
      </c>
      <c r="C262" s="921" t="s">
        <v>1363</v>
      </c>
    </row>
    <row r="263" spans="2:3" ht="12.75" x14ac:dyDescent="0.2">
      <c r="B263" s="923" t="s">
        <v>414</v>
      </c>
      <c r="C263" s="921" t="s">
        <v>1363</v>
      </c>
    </row>
    <row r="264" spans="2:3" ht="12.75" x14ac:dyDescent="0.2">
      <c r="B264" s="923" t="s">
        <v>415</v>
      </c>
      <c r="C264" s="921" t="s">
        <v>1363</v>
      </c>
    </row>
    <row r="265" spans="2:3" ht="12.75" x14ac:dyDescent="0.2">
      <c r="B265" s="923" t="s">
        <v>416</v>
      </c>
      <c r="C265" s="921" t="s">
        <v>1363</v>
      </c>
    </row>
    <row r="266" spans="2:3" ht="12.75" x14ac:dyDescent="0.2">
      <c r="B266" s="923" t="s">
        <v>417</v>
      </c>
      <c r="C266" s="921" t="s">
        <v>1363</v>
      </c>
    </row>
    <row r="267" spans="2:3" ht="12.75" x14ac:dyDescent="0.2">
      <c r="B267" s="923" t="s">
        <v>1000</v>
      </c>
      <c r="C267" s="921" t="s">
        <v>1363</v>
      </c>
    </row>
    <row r="268" spans="2:3" ht="12.75" x14ac:dyDescent="0.2">
      <c r="B268" s="923" t="s">
        <v>1068</v>
      </c>
      <c r="C268" s="921" t="s">
        <v>1363</v>
      </c>
    </row>
    <row r="269" spans="2:3" ht="12.75" x14ac:dyDescent="0.2">
      <c r="B269" s="923" t="s">
        <v>418</v>
      </c>
      <c r="C269" s="921" t="s">
        <v>1363</v>
      </c>
    </row>
    <row r="270" spans="2:3" ht="12.75" x14ac:dyDescent="0.2">
      <c r="B270" s="923" t="s">
        <v>419</v>
      </c>
      <c r="C270" s="921" t="s">
        <v>1363</v>
      </c>
    </row>
    <row r="271" spans="2:3" ht="12.75" x14ac:dyDescent="0.2">
      <c r="B271" s="923" t="s">
        <v>420</v>
      </c>
      <c r="C271" s="921" t="s">
        <v>1363</v>
      </c>
    </row>
    <row r="272" spans="2:3" ht="12.75" x14ac:dyDescent="0.2">
      <c r="B272" s="923" t="s">
        <v>421</v>
      </c>
      <c r="C272" s="921" t="s">
        <v>1363</v>
      </c>
    </row>
    <row r="273" spans="2:3" ht="12.75" x14ac:dyDescent="0.2">
      <c r="B273" s="923" t="s">
        <v>207</v>
      </c>
      <c r="C273" s="921" t="s">
        <v>1363</v>
      </c>
    </row>
    <row r="274" spans="2:3" ht="12.75" x14ac:dyDescent="0.2">
      <c r="B274" s="923" t="s">
        <v>422</v>
      </c>
      <c r="C274" s="921" t="s">
        <v>1363</v>
      </c>
    </row>
    <row r="275" spans="2:3" ht="12.75" x14ac:dyDescent="0.2">
      <c r="B275" s="923" t="s">
        <v>423</v>
      </c>
      <c r="C275" s="921" t="s">
        <v>1363</v>
      </c>
    </row>
    <row r="276" spans="2:3" ht="12.75" x14ac:dyDescent="0.2">
      <c r="B276" s="923" t="s">
        <v>424</v>
      </c>
      <c r="C276" s="921" t="s">
        <v>1363</v>
      </c>
    </row>
    <row r="277" spans="2:3" ht="12.75" x14ac:dyDescent="0.2">
      <c r="B277" s="923" t="s">
        <v>425</v>
      </c>
      <c r="C277" s="921" t="s">
        <v>1363</v>
      </c>
    </row>
    <row r="278" spans="2:3" ht="12.75" x14ac:dyDescent="0.2">
      <c r="B278" s="923" t="s">
        <v>426</v>
      </c>
      <c r="C278" s="921" t="s">
        <v>1363</v>
      </c>
    </row>
    <row r="279" spans="2:3" ht="12.75" x14ac:dyDescent="0.2">
      <c r="B279" s="923" t="s">
        <v>427</v>
      </c>
      <c r="C279" s="921" t="s">
        <v>1363</v>
      </c>
    </row>
    <row r="280" spans="2:3" ht="12.75" x14ac:dyDescent="0.2">
      <c r="B280" s="923" t="s">
        <v>428</v>
      </c>
      <c r="C280" s="921" t="s">
        <v>1363</v>
      </c>
    </row>
    <row r="281" spans="2:3" ht="12.75" x14ac:dyDescent="0.2">
      <c r="B281" s="923" t="s">
        <v>1364</v>
      </c>
      <c r="C281" s="921" t="s">
        <v>1363</v>
      </c>
    </row>
    <row r="282" spans="2:3" ht="12.75" x14ac:dyDescent="0.2">
      <c r="B282" s="923" t="s">
        <v>429</v>
      </c>
      <c r="C282" s="921" t="s">
        <v>1363</v>
      </c>
    </row>
    <row r="283" spans="2:3" ht="12.75" x14ac:dyDescent="0.2">
      <c r="B283" s="923" t="s">
        <v>430</v>
      </c>
      <c r="C283" s="921" t="s">
        <v>1363</v>
      </c>
    </row>
    <row r="284" spans="2:3" ht="12.75" x14ac:dyDescent="0.2">
      <c r="B284" s="923" t="s">
        <v>431</v>
      </c>
      <c r="C284" s="921" t="s">
        <v>1363</v>
      </c>
    </row>
    <row r="285" spans="2:3" ht="12.75" x14ac:dyDescent="0.2">
      <c r="B285" s="923" t="s">
        <v>222</v>
      </c>
      <c r="C285" s="921" t="s">
        <v>1363</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5"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112" zoomScaleNormal="100" workbookViewId="0">
      <selection activeCell="C83" sqref="C83"/>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1054</v>
      </c>
      <c r="B1" s="809"/>
      <c r="C1" s="808" t="s">
        <v>1053</v>
      </c>
      <c r="E1" s="807" t="s">
        <v>1052</v>
      </c>
    </row>
    <row r="2" spans="1:5" x14ac:dyDescent="0.2">
      <c r="A2" s="797" t="str">
        <f>B2&amp;" - "&amp;C2</f>
        <v>Vote 1 - Municipal Manager</v>
      </c>
      <c r="B2" s="805" t="s">
        <v>827</v>
      </c>
      <c r="C2" s="803" t="s">
        <v>1378</v>
      </c>
      <c r="E2" s="806"/>
    </row>
    <row r="3" spans="1:5" x14ac:dyDescent="0.2">
      <c r="A3" s="797" t="str">
        <f>B13&amp;" - "&amp; C13</f>
        <v>Vote 2 - Planning &amp; Economic Development</v>
      </c>
      <c r="B3" s="802">
        <v>1.1000000000000001</v>
      </c>
      <c r="C3" s="801" t="s">
        <v>1379</v>
      </c>
      <c r="D3" s="797" t="str">
        <f t="shared" ref="D3:D12" si="0">CONCATENATE(B3, " - ", C3)</f>
        <v>1.1 - Administration Municipal Manager</v>
      </c>
      <c r="E3" s="800" t="s">
        <v>1426</v>
      </c>
    </row>
    <row r="4" spans="1:5" x14ac:dyDescent="0.2">
      <c r="A4" s="797" t="str">
        <f>B24&amp;" - "&amp;C24</f>
        <v>Vote 3 - Financial Services</v>
      </c>
      <c r="B4" s="802">
        <v>1.2</v>
      </c>
      <c r="C4" s="801" t="s">
        <v>1380</v>
      </c>
      <c r="D4" s="797" t="str">
        <f t="shared" si="0"/>
        <v>1.2 - Internal Audit</v>
      </c>
      <c r="E4" s="800" t="s">
        <v>1427</v>
      </c>
    </row>
    <row r="5" spans="1:5" x14ac:dyDescent="0.2">
      <c r="A5" s="797" t="str">
        <f>B35&amp;" - "&amp;C35</f>
        <v>Vote 4 - Corporate Services</v>
      </c>
      <c r="B5" s="802">
        <v>1.3</v>
      </c>
      <c r="C5" s="801" t="s">
        <v>1152</v>
      </c>
      <c r="D5" s="797" t="str">
        <f t="shared" si="0"/>
        <v>1.3 - Disaster Management</v>
      </c>
      <c r="E5" s="800" t="s">
        <v>1428</v>
      </c>
    </row>
    <row r="6" spans="1:5" x14ac:dyDescent="0.2">
      <c r="A6" s="797" t="str">
        <f>B46&amp;" - "&amp;C46</f>
        <v>Vote 5 - Community Services</v>
      </c>
      <c r="B6" s="802">
        <v>1.4</v>
      </c>
      <c r="C6" s="801" t="s">
        <v>1381</v>
      </c>
      <c r="D6" s="797" t="str">
        <f t="shared" si="0"/>
        <v>1.4 - Strategic Support</v>
      </c>
      <c r="E6" s="800" t="s">
        <v>1429</v>
      </c>
    </row>
    <row r="7" spans="1:5" x14ac:dyDescent="0.2">
      <c r="A7" s="797" t="str">
        <f>B57&amp;" - "&amp;C57</f>
        <v>Vote 6 - Community Services</v>
      </c>
      <c r="B7" s="802">
        <v>1.5</v>
      </c>
      <c r="C7" s="801" t="s">
        <v>1139</v>
      </c>
      <c r="D7" s="797" t="str">
        <f t="shared" si="0"/>
        <v>1.5 - Risk Management</v>
      </c>
      <c r="E7" s="800" t="s">
        <v>1430</v>
      </c>
    </row>
    <row r="8" spans="1:5" x14ac:dyDescent="0.2">
      <c r="A8" s="797" t="str">
        <f>B68&amp;" - "&amp;C68</f>
        <v>Vote 7 - Electrical Engineering Services</v>
      </c>
      <c r="B8" s="802">
        <v>1.6</v>
      </c>
      <c r="C8" s="801" t="s">
        <v>1137</v>
      </c>
      <c r="D8" s="797" t="str">
        <f t="shared" si="0"/>
        <v>1.6 - Legal Services</v>
      </c>
      <c r="E8" s="800" t="s">
        <v>1431</v>
      </c>
    </row>
    <row r="9" spans="1:5" x14ac:dyDescent="0.2">
      <c r="A9" s="797" t="str">
        <f>B79&amp;" - "&amp;C79</f>
        <v>Vote 8 - Engineering Services</v>
      </c>
      <c r="B9" s="802">
        <v>1.7</v>
      </c>
      <c r="C9" s="801" t="s">
        <v>1401</v>
      </c>
      <c r="D9" s="797" t="str">
        <f t="shared" si="0"/>
        <v>1.7 - Council Expenditure</v>
      </c>
      <c r="E9" s="800" t="s">
        <v>1557</v>
      </c>
    </row>
    <row r="10" spans="1:5" x14ac:dyDescent="0.2">
      <c r="A10" s="797" t="str">
        <f>B90&amp;" - "&amp;C90</f>
        <v>Vote 9 - GTEDA</v>
      </c>
      <c r="B10" s="802">
        <v>1.8</v>
      </c>
      <c r="C10" s="801" t="s">
        <v>1024</v>
      </c>
      <c r="D10" s="797" t="str">
        <f t="shared" si="0"/>
        <v>1.8 - [Name of sub-vote]</v>
      </c>
      <c r="E10" s="800"/>
    </row>
    <row r="11" spans="1:5" x14ac:dyDescent="0.2">
      <c r="A11" s="797" t="str">
        <f>B101&amp;" - "&amp;C101</f>
        <v>Vote 10 - [NAME OF VOTE 10]</v>
      </c>
      <c r="B11" s="802">
        <v>1.9</v>
      </c>
      <c r="C11" s="801" t="s">
        <v>1024</v>
      </c>
      <c r="D11" s="797" t="str">
        <f t="shared" si="0"/>
        <v>1.9 - [Name of sub-vote]</v>
      </c>
      <c r="E11" s="800"/>
    </row>
    <row r="12" spans="1:5" x14ac:dyDescent="0.2">
      <c r="A12" s="797" t="str">
        <f>B112&amp;" - "&amp;C112</f>
        <v>Vote 11 - [NAME OF VOTE 11]</v>
      </c>
      <c r="B12" s="802" t="s">
        <v>1051</v>
      </c>
      <c r="C12" s="801" t="s">
        <v>1024</v>
      </c>
      <c r="D12" s="797" t="str">
        <f t="shared" si="0"/>
        <v>1.10 - [Name of sub-vote]</v>
      </c>
      <c r="E12" s="800"/>
    </row>
    <row r="13" spans="1:5" x14ac:dyDescent="0.2">
      <c r="A13" s="797" t="str">
        <f>B123&amp;" - "&amp;C123</f>
        <v>Vote 12 - [NAME OF VOTE 12]</v>
      </c>
      <c r="B13" s="805" t="s">
        <v>826</v>
      </c>
      <c r="C13" s="803" t="s">
        <v>1382</v>
      </c>
      <c r="E13" s="806"/>
    </row>
    <row r="14" spans="1:5" x14ac:dyDescent="0.2">
      <c r="A14" s="797" t="str">
        <f>B134&amp;" - "&amp;C134</f>
        <v>Vote 13 - [NAME OF VOTE 13]</v>
      </c>
      <c r="B14" s="802">
        <v>2.1</v>
      </c>
      <c r="C14" s="801" t="s">
        <v>1383</v>
      </c>
      <c r="D14" s="797" t="str">
        <f t="shared" ref="D14:D23" si="1">CONCATENATE(B14, " - ", C14)</f>
        <v>2.1 - Administration Strategy &amp; Development</v>
      </c>
      <c r="E14" s="800" t="s">
        <v>1515</v>
      </c>
    </row>
    <row r="15" spans="1:5" x14ac:dyDescent="0.2">
      <c r="A15" s="797" t="str">
        <f>B145&amp;" - "&amp;C145</f>
        <v>Vote 14 - [NAME OF VOTE 14]</v>
      </c>
      <c r="B15" s="802">
        <v>2.2000000000000002</v>
      </c>
      <c r="C15" s="801" t="s">
        <v>1384</v>
      </c>
      <c r="D15" s="797" t="str">
        <f t="shared" si="1"/>
        <v>2.2 - Local Economic Development</v>
      </c>
      <c r="E15" s="800" t="s">
        <v>1516</v>
      </c>
    </row>
    <row r="16" spans="1:5" x14ac:dyDescent="0.2">
      <c r="A16" s="797" t="str">
        <f>B156&amp;" - "&amp;C156</f>
        <v>Vote 15 - [NAME OF VOTE 15]</v>
      </c>
      <c r="B16" s="802">
        <v>2.2999999999999998</v>
      </c>
      <c r="C16" s="801" t="s">
        <v>1385</v>
      </c>
      <c r="D16" s="797" t="str">
        <f t="shared" si="1"/>
        <v>2.3 - Town &amp; Regional Planning</v>
      </c>
      <c r="E16" s="800" t="s">
        <v>1517</v>
      </c>
    </row>
    <row r="17" spans="1:5" x14ac:dyDescent="0.2">
      <c r="B17" s="802">
        <v>2.4</v>
      </c>
      <c r="C17" s="801" t="s">
        <v>1386</v>
      </c>
      <c r="D17" s="797" t="str">
        <f t="shared" si="1"/>
        <v>2.4 - Housing Administration</v>
      </c>
      <c r="E17" s="800" t="s">
        <v>1518</v>
      </c>
    </row>
    <row r="18" spans="1:5" x14ac:dyDescent="0.2">
      <c r="B18" s="802">
        <v>2.5</v>
      </c>
      <c r="C18" s="801" t="s">
        <v>1387</v>
      </c>
      <c r="D18" s="797" t="str">
        <f t="shared" si="1"/>
        <v>2.5 - SATELITE OFFICE: NKOWANKOWA</v>
      </c>
      <c r="E18" s="800" t="s">
        <v>1519</v>
      </c>
    </row>
    <row r="19" spans="1:5" x14ac:dyDescent="0.2">
      <c r="B19" s="802">
        <v>2.6</v>
      </c>
      <c r="C19" s="801" t="s">
        <v>1388</v>
      </c>
      <c r="D19" s="797" t="str">
        <f t="shared" si="1"/>
        <v>2.6 - SATELITE OFFICE: LENYENYE</v>
      </c>
      <c r="E19" s="800" t="s">
        <v>1520</v>
      </c>
    </row>
    <row r="20" spans="1:5" x14ac:dyDescent="0.2">
      <c r="B20" s="802">
        <v>2.7</v>
      </c>
      <c r="C20" s="801" t="s">
        <v>1389</v>
      </c>
      <c r="D20" s="797" t="str">
        <f t="shared" si="1"/>
        <v>2.7 - SATELITE OFFICE: LETSITELE</v>
      </c>
      <c r="E20" s="800" t="s">
        <v>1521</v>
      </c>
    </row>
    <row r="21" spans="1:5" x14ac:dyDescent="0.2">
      <c r="A21" s="806"/>
      <c r="B21" s="802">
        <v>2.8</v>
      </c>
      <c r="C21" s="801" t="s">
        <v>1024</v>
      </c>
      <c r="D21" s="797" t="str">
        <f t="shared" si="1"/>
        <v>2.8 - [Name of sub-vote]</v>
      </c>
      <c r="E21" s="800"/>
    </row>
    <row r="22" spans="1:5" x14ac:dyDescent="0.2">
      <c r="B22" s="802">
        <v>2.9</v>
      </c>
      <c r="C22" s="801" t="s">
        <v>1024</v>
      </c>
      <c r="D22" s="797" t="str">
        <f t="shared" si="1"/>
        <v>2.9 - [Name of sub-vote]</v>
      </c>
      <c r="E22" s="800"/>
    </row>
    <row r="23" spans="1:5" x14ac:dyDescent="0.2">
      <c r="B23" s="802" t="s">
        <v>1050</v>
      </c>
      <c r="C23" s="801" t="s">
        <v>1024</v>
      </c>
      <c r="D23" s="797" t="str">
        <f t="shared" si="1"/>
        <v>2.10 - [Name of sub-vote]</v>
      </c>
      <c r="E23" s="800"/>
    </row>
    <row r="24" spans="1:5" x14ac:dyDescent="0.2">
      <c r="B24" s="805" t="s">
        <v>825</v>
      </c>
      <c r="C24" s="803" t="s">
        <v>1390</v>
      </c>
      <c r="E24" s="800"/>
    </row>
    <row r="25" spans="1:5" x14ac:dyDescent="0.2">
      <c r="B25" s="802">
        <v>3.1</v>
      </c>
      <c r="C25" s="801" t="s">
        <v>1391</v>
      </c>
      <c r="D25" s="797" t="str">
        <f t="shared" ref="D25:D34" si="2">CONCATENATE(B25, " - ", C25)</f>
        <v>3.1 - Administration Finance</v>
      </c>
      <c r="E25" s="800" t="s">
        <v>1522</v>
      </c>
    </row>
    <row r="26" spans="1:5" x14ac:dyDescent="0.2">
      <c r="B26" s="802">
        <v>3.2</v>
      </c>
      <c r="C26" s="801" t="s">
        <v>1392</v>
      </c>
      <c r="D26" s="797" t="str">
        <f t="shared" si="2"/>
        <v>3.2 - Budget office</v>
      </c>
      <c r="E26" s="800" t="s">
        <v>1523</v>
      </c>
    </row>
    <row r="27" spans="1:5" x14ac:dyDescent="0.2">
      <c r="B27" s="802">
        <v>3.3</v>
      </c>
      <c r="C27" s="801" t="s">
        <v>1393</v>
      </c>
      <c r="D27" s="797" t="str">
        <f t="shared" si="2"/>
        <v>3.3 - Revenue</v>
      </c>
      <c r="E27" s="800" t="s">
        <v>1524</v>
      </c>
    </row>
    <row r="28" spans="1:5" x14ac:dyDescent="0.2">
      <c r="B28" s="802">
        <v>3.4</v>
      </c>
      <c r="C28" s="801" t="s">
        <v>1394</v>
      </c>
      <c r="D28" s="797" t="str">
        <f t="shared" si="2"/>
        <v>3.4 - Expenditure</v>
      </c>
      <c r="E28" s="800" t="s">
        <v>1525</v>
      </c>
    </row>
    <row r="29" spans="1:5" x14ac:dyDescent="0.2">
      <c r="B29" s="802">
        <v>3.5</v>
      </c>
      <c r="C29" s="801" t="s">
        <v>596</v>
      </c>
      <c r="D29" s="797" t="str">
        <f t="shared" si="2"/>
        <v>3.5 - Inventory</v>
      </c>
      <c r="E29" s="800" t="s">
        <v>1526</v>
      </c>
    </row>
    <row r="30" spans="1:5" x14ac:dyDescent="0.2">
      <c r="B30" s="802">
        <v>3.6</v>
      </c>
      <c r="C30" s="801" t="s">
        <v>1395</v>
      </c>
      <c r="D30" s="797" t="str">
        <f t="shared" si="2"/>
        <v>3.6 - Supply Chain Management</v>
      </c>
      <c r="E30" s="800" t="s">
        <v>1527</v>
      </c>
    </row>
    <row r="31" spans="1:5" x14ac:dyDescent="0.2">
      <c r="B31" s="802">
        <v>3.7</v>
      </c>
      <c r="C31" s="801" t="s">
        <v>1024</v>
      </c>
      <c r="D31" s="797" t="str">
        <f t="shared" si="2"/>
        <v>3.7 - [Name of sub-vote]</v>
      </c>
      <c r="E31" s="800"/>
    </row>
    <row r="32" spans="1:5" x14ac:dyDescent="0.2">
      <c r="B32" s="802">
        <v>3.8</v>
      </c>
      <c r="C32" s="801" t="s">
        <v>1024</v>
      </c>
      <c r="D32" s="797" t="str">
        <f t="shared" si="2"/>
        <v>3.8 - [Name of sub-vote]</v>
      </c>
      <c r="E32" s="800"/>
    </row>
    <row r="33" spans="2:5" x14ac:dyDescent="0.2">
      <c r="B33" s="802">
        <v>3.9</v>
      </c>
      <c r="C33" s="801" t="s">
        <v>1024</v>
      </c>
      <c r="D33" s="797" t="str">
        <f t="shared" si="2"/>
        <v>3.9 - [Name of sub-vote]</v>
      </c>
      <c r="E33" s="800"/>
    </row>
    <row r="34" spans="2:5" x14ac:dyDescent="0.2">
      <c r="B34" s="802" t="s">
        <v>1049</v>
      </c>
      <c r="C34" s="801" t="s">
        <v>1024</v>
      </c>
      <c r="D34" s="797" t="str">
        <f t="shared" si="2"/>
        <v>3.10 - [Name of sub-vote]</v>
      </c>
      <c r="E34" s="800"/>
    </row>
    <row r="35" spans="2:5" x14ac:dyDescent="0.2">
      <c r="B35" s="805" t="s">
        <v>824</v>
      </c>
      <c r="C35" s="803" t="s">
        <v>1396</v>
      </c>
      <c r="E35" s="800"/>
    </row>
    <row r="36" spans="2:5" x14ac:dyDescent="0.2">
      <c r="B36" s="802">
        <v>4.0999999999999996</v>
      </c>
      <c r="C36" s="801" t="s">
        <v>1397</v>
      </c>
      <c r="D36" s="797" t="str">
        <f t="shared" ref="D36:D45" si="3">CONCATENATE(B36, " - ", C36)</f>
        <v>4.1 - Communications</v>
      </c>
      <c r="E36" s="800" t="s">
        <v>1528</v>
      </c>
    </row>
    <row r="37" spans="2:5" x14ac:dyDescent="0.2">
      <c r="B37" s="802">
        <v>4.2</v>
      </c>
      <c r="C37" s="801" t="s">
        <v>1398</v>
      </c>
      <c r="D37" s="797" t="str">
        <f t="shared" si="3"/>
        <v>4.2 - Public Participation &amp; Project Support</v>
      </c>
      <c r="E37" s="800" t="s">
        <v>1529</v>
      </c>
    </row>
    <row r="38" spans="2:5" x14ac:dyDescent="0.2">
      <c r="B38" s="802">
        <v>4.3</v>
      </c>
      <c r="C38" s="801" t="s">
        <v>168</v>
      </c>
      <c r="D38" s="797" t="str">
        <f t="shared" si="3"/>
        <v>4.3 - Information Technology</v>
      </c>
      <c r="E38" s="800" t="s">
        <v>1530</v>
      </c>
    </row>
    <row r="39" spans="2:5" x14ac:dyDescent="0.2">
      <c r="B39" s="802">
        <v>4.4000000000000004</v>
      </c>
      <c r="C39" s="801" t="s">
        <v>1399</v>
      </c>
      <c r="D39" s="797" t="str">
        <f t="shared" si="3"/>
        <v>4.4 - Administration HR &amp; Corporate</v>
      </c>
      <c r="E39" s="800" t="s">
        <v>1531</v>
      </c>
    </row>
    <row r="40" spans="2:5" x14ac:dyDescent="0.2">
      <c r="B40" s="802">
        <v>4.5</v>
      </c>
      <c r="C40" s="801" t="s">
        <v>167</v>
      </c>
      <c r="D40" s="797" t="str">
        <f t="shared" si="3"/>
        <v>4.5 - Human Resources</v>
      </c>
      <c r="E40" s="800" t="s">
        <v>1532</v>
      </c>
    </row>
    <row r="41" spans="2:5" x14ac:dyDescent="0.2">
      <c r="B41" s="802">
        <v>4.5999999999999996</v>
      </c>
      <c r="C41" s="801" t="s">
        <v>1400</v>
      </c>
      <c r="D41" s="797" t="str">
        <f t="shared" si="3"/>
        <v>4.6 - Occupational Health &amp; safety</v>
      </c>
      <c r="E41" s="800" t="s">
        <v>1533</v>
      </c>
    </row>
    <row r="42" spans="2:5" x14ac:dyDescent="0.2">
      <c r="B42" s="802">
        <v>4.7</v>
      </c>
      <c r="C42" s="801" t="s">
        <v>1396</v>
      </c>
      <c r="D42" s="797" t="str">
        <f t="shared" si="3"/>
        <v>4.7 - Corporate Services</v>
      </c>
      <c r="E42" s="800" t="s">
        <v>1534</v>
      </c>
    </row>
    <row r="43" spans="2:5" x14ac:dyDescent="0.2">
      <c r="B43" s="802">
        <v>4.8</v>
      </c>
      <c r="C43" s="801" t="s">
        <v>1024</v>
      </c>
      <c r="D43" s="797" t="str">
        <f t="shared" si="3"/>
        <v>4.8 - [Name of sub-vote]</v>
      </c>
      <c r="E43" s="800"/>
    </row>
    <row r="44" spans="2:5" x14ac:dyDescent="0.2">
      <c r="B44" s="802">
        <v>4.9000000000000004</v>
      </c>
      <c r="C44" s="801" t="s">
        <v>1024</v>
      </c>
      <c r="D44" s="797" t="str">
        <f t="shared" si="3"/>
        <v>4.9 - [Name of sub-vote]</v>
      </c>
      <c r="E44" s="800"/>
    </row>
    <row r="45" spans="2:5" x14ac:dyDescent="0.2">
      <c r="B45" s="802" t="s">
        <v>1048</v>
      </c>
      <c r="C45" s="801" t="s">
        <v>1024</v>
      </c>
      <c r="D45" s="797" t="str">
        <f t="shared" si="3"/>
        <v>4.10 - [Name of sub-vote]</v>
      </c>
      <c r="E45" s="800"/>
    </row>
    <row r="46" spans="2:5" x14ac:dyDescent="0.2">
      <c r="B46" s="805" t="s">
        <v>823</v>
      </c>
      <c r="C46" s="803" t="s">
        <v>1402</v>
      </c>
      <c r="E46" s="800"/>
    </row>
    <row r="47" spans="2:5" x14ac:dyDescent="0.2">
      <c r="B47" s="802">
        <v>5.0999999999999996</v>
      </c>
      <c r="C47" s="801" t="s">
        <v>1403</v>
      </c>
      <c r="D47" s="797" t="str">
        <f t="shared" ref="D47:D56" si="4">CONCATENATE(B47, " - ", C47)</f>
        <v>5.1 - Parks &amp; Recreation</v>
      </c>
      <c r="E47" s="800" t="s">
        <v>1535</v>
      </c>
    </row>
    <row r="48" spans="2:5" x14ac:dyDescent="0.2">
      <c r="B48" s="802">
        <v>5.2</v>
      </c>
      <c r="C48" s="801" t="s">
        <v>1404</v>
      </c>
      <c r="D48" s="797" t="str">
        <f t="shared" si="4"/>
        <v>5.2 - Administration Community Services</v>
      </c>
      <c r="E48" s="800" t="s">
        <v>1536</v>
      </c>
    </row>
    <row r="49" spans="2:5" x14ac:dyDescent="0.2">
      <c r="B49" s="802">
        <v>5.3</v>
      </c>
      <c r="C49" s="801" t="s">
        <v>1405</v>
      </c>
      <c r="D49" s="797" t="str">
        <f t="shared" si="4"/>
        <v>5.3 - Community Health Services</v>
      </c>
      <c r="E49" s="800" t="s">
        <v>1537</v>
      </c>
    </row>
    <row r="50" spans="2:5" x14ac:dyDescent="0.2">
      <c r="B50" s="802">
        <v>5.4</v>
      </c>
      <c r="C50" s="801" t="s">
        <v>1406</v>
      </c>
      <c r="D50" s="797" t="str">
        <f t="shared" si="4"/>
        <v>5.4 - Enviromental Health Services</v>
      </c>
      <c r="E50" s="800" t="s">
        <v>1538</v>
      </c>
    </row>
    <row r="51" spans="2:5" x14ac:dyDescent="0.2">
      <c r="B51" s="802">
        <v>5.5</v>
      </c>
      <c r="C51" s="801" t="s">
        <v>1407</v>
      </c>
      <c r="D51" s="797" t="str">
        <f t="shared" si="4"/>
        <v>5.5 - Library Services</v>
      </c>
      <c r="E51" s="800" t="s">
        <v>1539</v>
      </c>
    </row>
    <row r="52" spans="2:5" x14ac:dyDescent="0.2">
      <c r="B52" s="802">
        <v>5.6</v>
      </c>
      <c r="C52" s="801" t="s">
        <v>1408</v>
      </c>
      <c r="D52" s="797" t="str">
        <f t="shared" si="4"/>
        <v>5.6 - Solid Waste</v>
      </c>
      <c r="E52" s="800" t="s">
        <v>1540</v>
      </c>
    </row>
    <row r="53" spans="2:5" x14ac:dyDescent="0.2">
      <c r="B53" s="802">
        <v>5.7</v>
      </c>
      <c r="C53" s="801" t="s">
        <v>1409</v>
      </c>
      <c r="D53" s="797" t="str">
        <f t="shared" si="4"/>
        <v>5.7 - Street Cleansing</v>
      </c>
      <c r="E53" s="800" t="s">
        <v>1541</v>
      </c>
    </row>
    <row r="54" spans="2:5" x14ac:dyDescent="0.2">
      <c r="B54" s="802">
        <v>5.8</v>
      </c>
      <c r="C54" s="801" t="s">
        <v>180</v>
      </c>
      <c r="D54" s="797" t="str">
        <f t="shared" si="4"/>
        <v>5.8 - Public Toilets</v>
      </c>
      <c r="E54" s="800" t="s">
        <v>1542</v>
      </c>
    </row>
    <row r="55" spans="2:5" x14ac:dyDescent="0.2">
      <c r="B55" s="802">
        <v>5.9</v>
      </c>
      <c r="C55" s="801" t="s">
        <v>1024</v>
      </c>
      <c r="D55" s="797" t="str">
        <f t="shared" si="4"/>
        <v>5.9 - [Name of sub-vote]</v>
      </c>
      <c r="E55" s="800"/>
    </row>
    <row r="56" spans="2:5" x14ac:dyDescent="0.2">
      <c r="B56" s="802" t="s">
        <v>1047</v>
      </c>
      <c r="C56" s="801" t="s">
        <v>1024</v>
      </c>
      <c r="D56" s="797" t="str">
        <f t="shared" si="4"/>
        <v>5.10 - [Name of sub-vote]</v>
      </c>
      <c r="E56" s="800"/>
    </row>
    <row r="57" spans="2:5" x14ac:dyDescent="0.2">
      <c r="B57" s="805" t="s">
        <v>822</v>
      </c>
      <c r="C57" s="803" t="s">
        <v>1402</v>
      </c>
      <c r="E57" s="800"/>
    </row>
    <row r="58" spans="2:5" x14ac:dyDescent="0.2">
      <c r="B58" s="802">
        <v>6.1</v>
      </c>
      <c r="C58" s="801" t="s">
        <v>1410</v>
      </c>
      <c r="D58" s="797" t="str">
        <f t="shared" ref="D58:D67" si="5">CONCATENATE(B58, " - ", C58)</f>
        <v>6.1 - Traffic services</v>
      </c>
      <c r="E58" s="800" t="s">
        <v>1543</v>
      </c>
    </row>
    <row r="59" spans="2:5" x14ac:dyDescent="0.2">
      <c r="B59" s="802">
        <v>6.2</v>
      </c>
      <c r="C59" s="801" t="s">
        <v>1411</v>
      </c>
      <c r="D59" s="797" t="str">
        <f t="shared" si="5"/>
        <v>6.2 - Administration Transport,safety,Security</v>
      </c>
      <c r="E59" s="800" t="s">
        <v>1544</v>
      </c>
    </row>
    <row r="60" spans="2:5" x14ac:dyDescent="0.2">
      <c r="B60" s="802">
        <v>6.3</v>
      </c>
      <c r="C60" s="801" t="s">
        <v>1412</v>
      </c>
      <c r="D60" s="797" t="str">
        <f t="shared" si="5"/>
        <v>6.3 - Vehicle licencing</v>
      </c>
      <c r="E60" s="800" t="s">
        <v>1545</v>
      </c>
    </row>
    <row r="61" spans="2:5" x14ac:dyDescent="0.2">
      <c r="B61" s="802">
        <v>6.4</v>
      </c>
      <c r="C61" s="801" t="s">
        <v>1024</v>
      </c>
      <c r="D61" s="797" t="str">
        <f t="shared" si="5"/>
        <v>6.4 - [Name of sub-vote]</v>
      </c>
      <c r="E61" s="800"/>
    </row>
    <row r="62" spans="2:5" x14ac:dyDescent="0.2">
      <c r="B62" s="802">
        <v>6.5</v>
      </c>
      <c r="C62" s="801" t="s">
        <v>1024</v>
      </c>
      <c r="D62" s="797" t="str">
        <f t="shared" si="5"/>
        <v>6.5 - [Name of sub-vote]</v>
      </c>
      <c r="E62" s="800"/>
    </row>
    <row r="63" spans="2:5" x14ac:dyDescent="0.2">
      <c r="B63" s="802">
        <v>6.6</v>
      </c>
      <c r="C63" s="801" t="s">
        <v>1024</v>
      </c>
      <c r="D63" s="797" t="str">
        <f t="shared" si="5"/>
        <v>6.6 - [Name of sub-vote]</v>
      </c>
      <c r="E63" s="800"/>
    </row>
    <row r="64" spans="2:5" x14ac:dyDescent="0.2">
      <c r="B64" s="802">
        <v>6.7</v>
      </c>
      <c r="C64" s="801" t="s">
        <v>1024</v>
      </c>
      <c r="D64" s="797" t="str">
        <f t="shared" si="5"/>
        <v>6.7 - [Name of sub-vote]</v>
      </c>
      <c r="E64" s="800"/>
    </row>
    <row r="65" spans="2:5" x14ac:dyDescent="0.2">
      <c r="B65" s="802">
        <v>6.8</v>
      </c>
      <c r="C65" s="801" t="s">
        <v>1024</v>
      </c>
      <c r="D65" s="797" t="str">
        <f t="shared" si="5"/>
        <v>6.8 - [Name of sub-vote]</v>
      </c>
      <c r="E65" s="800"/>
    </row>
    <row r="66" spans="2:5" x14ac:dyDescent="0.2">
      <c r="B66" s="802">
        <v>6.9</v>
      </c>
      <c r="C66" s="801" t="s">
        <v>1024</v>
      </c>
      <c r="D66" s="797" t="str">
        <f t="shared" si="5"/>
        <v>6.9 - [Name of sub-vote]</v>
      </c>
      <c r="E66" s="800"/>
    </row>
    <row r="67" spans="2:5" x14ac:dyDescent="0.2">
      <c r="B67" s="802" t="s">
        <v>1046</v>
      </c>
      <c r="C67" s="801" t="s">
        <v>1024</v>
      </c>
      <c r="D67" s="797" t="str">
        <f t="shared" si="5"/>
        <v>6.10 - [Name of sub-vote]</v>
      </c>
      <c r="E67" s="800"/>
    </row>
    <row r="68" spans="2:5" x14ac:dyDescent="0.2">
      <c r="B68" s="804" t="s">
        <v>821</v>
      </c>
      <c r="C68" s="803" t="s">
        <v>1413</v>
      </c>
      <c r="E68" s="800"/>
    </row>
    <row r="69" spans="2:5" x14ac:dyDescent="0.2">
      <c r="B69" s="802">
        <v>7.1</v>
      </c>
      <c r="C69" s="801" t="s">
        <v>1414</v>
      </c>
      <c r="D69" s="797" t="str">
        <f t="shared" ref="D69:D78" si="6">CONCATENATE(B69, " - ", C69)</f>
        <v>7.1 - Administration Electrical Engineering</v>
      </c>
      <c r="E69" s="800" t="s">
        <v>1546</v>
      </c>
    </row>
    <row r="70" spans="2:5" x14ac:dyDescent="0.2">
      <c r="B70" s="802">
        <v>7.2</v>
      </c>
      <c r="C70" s="801" t="s">
        <v>1415</v>
      </c>
      <c r="D70" s="797" t="str">
        <f t="shared" si="6"/>
        <v>7.2 - Operations &amp; Maintenance: Rural</v>
      </c>
      <c r="E70" s="800" t="s">
        <v>1547</v>
      </c>
    </row>
    <row r="71" spans="2:5" x14ac:dyDescent="0.2">
      <c r="B71" s="802">
        <v>7.3</v>
      </c>
      <c r="C71" s="801" t="s">
        <v>1416</v>
      </c>
      <c r="D71" s="797" t="str">
        <f t="shared" si="6"/>
        <v>7.3 - Operations &amp; Maintenance: Town</v>
      </c>
      <c r="E71" s="800" t="s">
        <v>1548</v>
      </c>
    </row>
    <row r="72" spans="2:5" x14ac:dyDescent="0.2">
      <c r="B72" s="802">
        <v>7.4</v>
      </c>
      <c r="C72" s="801" t="s">
        <v>1024</v>
      </c>
      <c r="D72" s="797" t="str">
        <f t="shared" si="6"/>
        <v>7.4 - [Name of sub-vote]</v>
      </c>
      <c r="E72" s="800"/>
    </row>
    <row r="73" spans="2:5" x14ac:dyDescent="0.2">
      <c r="B73" s="802">
        <v>7.5</v>
      </c>
      <c r="C73" s="801" t="s">
        <v>1024</v>
      </c>
      <c r="D73" s="797" t="str">
        <f t="shared" si="6"/>
        <v>7.5 - [Name of sub-vote]</v>
      </c>
      <c r="E73" s="800"/>
    </row>
    <row r="74" spans="2:5" x14ac:dyDescent="0.2">
      <c r="B74" s="802">
        <v>7.6</v>
      </c>
      <c r="C74" s="801" t="s">
        <v>1024</v>
      </c>
      <c r="D74" s="797" t="str">
        <f t="shared" si="6"/>
        <v>7.6 - [Name of sub-vote]</v>
      </c>
      <c r="E74" s="800"/>
    </row>
    <row r="75" spans="2:5" x14ac:dyDescent="0.2">
      <c r="B75" s="802">
        <v>7.7</v>
      </c>
      <c r="C75" s="801" t="s">
        <v>1024</v>
      </c>
      <c r="D75" s="797" t="str">
        <f t="shared" si="6"/>
        <v>7.7 - [Name of sub-vote]</v>
      </c>
      <c r="E75" s="800"/>
    </row>
    <row r="76" spans="2:5" x14ac:dyDescent="0.2">
      <c r="B76" s="802">
        <v>7.8</v>
      </c>
      <c r="C76" s="801" t="s">
        <v>1024</v>
      </c>
      <c r="D76" s="797" t="str">
        <f t="shared" si="6"/>
        <v>7.8 - [Name of sub-vote]</v>
      </c>
      <c r="E76" s="800"/>
    </row>
    <row r="77" spans="2:5" x14ac:dyDescent="0.2">
      <c r="B77" s="802">
        <v>7.9</v>
      </c>
      <c r="C77" s="801" t="s">
        <v>1024</v>
      </c>
      <c r="D77" s="797" t="str">
        <f t="shared" si="6"/>
        <v>7.9 - [Name of sub-vote]</v>
      </c>
      <c r="E77" s="800"/>
    </row>
    <row r="78" spans="2:5" x14ac:dyDescent="0.2">
      <c r="B78" s="802" t="s">
        <v>1045</v>
      </c>
      <c r="C78" s="801" t="s">
        <v>1024</v>
      </c>
      <c r="D78" s="797" t="str">
        <f t="shared" si="6"/>
        <v>7.10 - [Name of sub-vote]</v>
      </c>
      <c r="E78" s="800"/>
    </row>
    <row r="79" spans="2:5" x14ac:dyDescent="0.2">
      <c r="B79" s="804" t="s">
        <v>820</v>
      </c>
      <c r="C79" s="803" t="s">
        <v>1417</v>
      </c>
      <c r="E79" s="800"/>
    </row>
    <row r="80" spans="2:5" x14ac:dyDescent="0.2">
      <c r="B80" s="802">
        <v>8.1</v>
      </c>
      <c r="C80" s="801" t="s">
        <v>1136</v>
      </c>
      <c r="D80" s="797" t="str">
        <f t="shared" ref="D80:D89" si="7">CONCATENATE(B80, " - ", C80)</f>
        <v>8.1 - Fleet Management</v>
      </c>
      <c r="E80" s="800" t="s">
        <v>1549</v>
      </c>
    </row>
    <row r="81" spans="2:5" x14ac:dyDescent="0.2">
      <c r="B81" s="802">
        <v>8.1999999999999993</v>
      </c>
      <c r="C81" s="801" t="s">
        <v>1418</v>
      </c>
      <c r="D81" s="797" t="str">
        <f t="shared" si="7"/>
        <v>8.2 - Administration Civil Engineering</v>
      </c>
      <c r="E81" s="800" t="s">
        <v>1550</v>
      </c>
    </row>
    <row r="82" spans="2:5" x14ac:dyDescent="0.2">
      <c r="B82" s="802">
        <v>8.3000000000000007</v>
      </c>
      <c r="C82" s="801" t="s">
        <v>1419</v>
      </c>
      <c r="D82" s="797" t="str">
        <f t="shared" si="7"/>
        <v>8.3 - Roads &amp; stormwater Management</v>
      </c>
      <c r="E82" s="800" t="s">
        <v>1551</v>
      </c>
    </row>
    <row r="83" spans="2:5" x14ac:dyDescent="0.2">
      <c r="B83" s="802">
        <v>8.4</v>
      </c>
      <c r="C83" s="801" t="s">
        <v>1420</v>
      </c>
      <c r="D83" s="797" t="str">
        <f t="shared" si="7"/>
        <v>8.4 - Water Networks</v>
      </c>
      <c r="E83" s="800" t="s">
        <v>1552</v>
      </c>
    </row>
    <row r="84" spans="2:5" x14ac:dyDescent="0.2">
      <c r="B84" s="802">
        <v>8.5</v>
      </c>
      <c r="C84" s="801" t="s">
        <v>1421</v>
      </c>
      <c r="D84" s="797" t="str">
        <f t="shared" si="7"/>
        <v>8.5 - Water Purification</v>
      </c>
      <c r="E84" s="800" t="s">
        <v>1553</v>
      </c>
    </row>
    <row r="85" spans="2:5" x14ac:dyDescent="0.2">
      <c r="B85" s="802">
        <v>8.6</v>
      </c>
      <c r="C85" s="801" t="s">
        <v>1422</v>
      </c>
      <c r="D85" s="797" t="str">
        <f t="shared" si="7"/>
        <v>8.6 - Building &amp; Housing</v>
      </c>
      <c r="E85" s="800" t="s">
        <v>1554</v>
      </c>
    </row>
    <row r="86" spans="2:5" x14ac:dyDescent="0.2">
      <c r="B86" s="802">
        <v>8.6999999999999993</v>
      </c>
      <c r="C86" s="801" t="s">
        <v>1423</v>
      </c>
      <c r="D86" s="797" t="str">
        <f t="shared" si="7"/>
        <v>8.7 - Project Management</v>
      </c>
      <c r="E86" s="800" t="s">
        <v>1555</v>
      </c>
    </row>
    <row r="87" spans="2:5" x14ac:dyDescent="0.2">
      <c r="B87" s="802">
        <v>8.8000000000000007</v>
      </c>
      <c r="C87" s="801" t="s">
        <v>1024</v>
      </c>
      <c r="D87" s="797" t="str">
        <f t="shared" si="7"/>
        <v>8.8 - [Name of sub-vote]</v>
      </c>
      <c r="E87" s="800"/>
    </row>
    <row r="88" spans="2:5" x14ac:dyDescent="0.2">
      <c r="B88" s="802">
        <v>8.9</v>
      </c>
      <c r="C88" s="801" t="s">
        <v>1024</v>
      </c>
      <c r="D88" s="797" t="str">
        <f t="shared" si="7"/>
        <v>8.9 - [Name of sub-vote]</v>
      </c>
      <c r="E88" s="800"/>
    </row>
    <row r="89" spans="2:5" x14ac:dyDescent="0.2">
      <c r="B89" s="802" t="s">
        <v>1044</v>
      </c>
      <c r="C89" s="801" t="s">
        <v>1024</v>
      </c>
      <c r="D89" s="797" t="str">
        <f t="shared" si="7"/>
        <v>8.10 - [Name of sub-vote]</v>
      </c>
      <c r="E89" s="800"/>
    </row>
    <row r="90" spans="2:5" x14ac:dyDescent="0.2">
      <c r="B90" s="804" t="s">
        <v>819</v>
      </c>
      <c r="C90" s="803" t="s">
        <v>1424</v>
      </c>
      <c r="E90" s="800"/>
    </row>
    <row r="91" spans="2:5" x14ac:dyDescent="0.2">
      <c r="B91" s="802">
        <v>9.1</v>
      </c>
      <c r="C91" s="801" t="s">
        <v>1425</v>
      </c>
      <c r="D91" s="797" t="str">
        <f t="shared" ref="D91:D100" si="8">CONCATENATE(B91, " - ", C91)</f>
        <v>9.1 - Gteda</v>
      </c>
      <c r="E91" s="800" t="s">
        <v>1556</v>
      </c>
    </row>
    <row r="92" spans="2:5" x14ac:dyDescent="0.2">
      <c r="B92" s="802">
        <v>9.1999999999999993</v>
      </c>
      <c r="C92" s="801" t="s">
        <v>1024</v>
      </c>
      <c r="D92" s="797" t="str">
        <f t="shared" si="8"/>
        <v>9.2 - [Name of sub-vote]</v>
      </c>
      <c r="E92" s="800"/>
    </row>
    <row r="93" spans="2:5" x14ac:dyDescent="0.2">
      <c r="B93" s="802">
        <v>9.3000000000000007</v>
      </c>
      <c r="C93" s="801" t="s">
        <v>1024</v>
      </c>
      <c r="D93" s="797" t="str">
        <f t="shared" si="8"/>
        <v>9.3 - [Name of sub-vote]</v>
      </c>
      <c r="E93" s="800"/>
    </row>
    <row r="94" spans="2:5" x14ac:dyDescent="0.2">
      <c r="B94" s="802">
        <v>9.4</v>
      </c>
      <c r="C94" s="801" t="s">
        <v>1024</v>
      </c>
      <c r="D94" s="797" t="str">
        <f t="shared" si="8"/>
        <v>9.4 - [Name of sub-vote]</v>
      </c>
      <c r="E94" s="800"/>
    </row>
    <row r="95" spans="2:5" x14ac:dyDescent="0.2">
      <c r="B95" s="802">
        <v>9.5</v>
      </c>
      <c r="C95" s="801" t="s">
        <v>1024</v>
      </c>
      <c r="D95" s="797" t="str">
        <f t="shared" si="8"/>
        <v>9.5 - [Name of sub-vote]</v>
      </c>
      <c r="E95" s="800"/>
    </row>
    <row r="96" spans="2:5" x14ac:dyDescent="0.2">
      <c r="B96" s="802">
        <v>9.6</v>
      </c>
      <c r="C96" s="801" t="s">
        <v>1024</v>
      </c>
      <c r="D96" s="797" t="str">
        <f t="shared" si="8"/>
        <v>9.6 - [Name of sub-vote]</v>
      </c>
      <c r="E96" s="800"/>
    </row>
    <row r="97" spans="2:5" x14ac:dyDescent="0.2">
      <c r="B97" s="802">
        <v>9.6999999999999993</v>
      </c>
      <c r="C97" s="801" t="s">
        <v>1024</v>
      </c>
      <c r="D97" s="797" t="str">
        <f t="shared" si="8"/>
        <v>9.7 - [Name of sub-vote]</v>
      </c>
      <c r="E97" s="800"/>
    </row>
    <row r="98" spans="2:5" x14ac:dyDescent="0.2">
      <c r="B98" s="802">
        <v>9.8000000000000007</v>
      </c>
      <c r="C98" s="801" t="s">
        <v>1024</v>
      </c>
      <c r="D98" s="797" t="str">
        <f t="shared" si="8"/>
        <v>9.8 - [Name of sub-vote]</v>
      </c>
      <c r="E98" s="800"/>
    </row>
    <row r="99" spans="2:5" x14ac:dyDescent="0.2">
      <c r="B99" s="802">
        <v>9.9</v>
      </c>
      <c r="C99" s="801" t="s">
        <v>1024</v>
      </c>
      <c r="D99" s="797" t="str">
        <f t="shared" si="8"/>
        <v>9.9 - [Name of sub-vote]</v>
      </c>
      <c r="E99" s="800"/>
    </row>
    <row r="100" spans="2:5" x14ac:dyDescent="0.2">
      <c r="B100" s="802" t="s">
        <v>1043</v>
      </c>
      <c r="C100" s="801" t="s">
        <v>1024</v>
      </c>
      <c r="D100" s="797" t="str">
        <f t="shared" si="8"/>
        <v>9.10 - [Name of sub-vote]</v>
      </c>
      <c r="E100" s="800"/>
    </row>
    <row r="101" spans="2:5" x14ac:dyDescent="0.2">
      <c r="B101" s="804" t="s">
        <v>818</v>
      </c>
      <c r="C101" s="803" t="s">
        <v>1042</v>
      </c>
      <c r="E101" s="800"/>
    </row>
    <row r="102" spans="2:5" x14ac:dyDescent="0.2">
      <c r="B102" s="802">
        <v>10.1</v>
      </c>
      <c r="C102" s="801" t="s">
        <v>1024</v>
      </c>
      <c r="D102" s="797" t="str">
        <f t="shared" ref="D102:D111" si="9">CONCATENATE(B102, " - ", C102)</f>
        <v>10.1 - [Name of sub-vote]</v>
      </c>
      <c r="E102" s="800" t="s">
        <v>1041</v>
      </c>
    </row>
    <row r="103" spans="2:5" x14ac:dyDescent="0.2">
      <c r="B103" s="802">
        <v>10.199999999999999</v>
      </c>
      <c r="C103" s="801" t="s">
        <v>1024</v>
      </c>
      <c r="D103" s="797" t="str">
        <f t="shared" si="9"/>
        <v>10.2 - [Name of sub-vote]</v>
      </c>
      <c r="E103" s="800"/>
    </row>
    <row r="104" spans="2:5" x14ac:dyDescent="0.2">
      <c r="B104" s="802">
        <v>10.3</v>
      </c>
      <c r="C104" s="801" t="s">
        <v>1024</v>
      </c>
      <c r="D104" s="797" t="str">
        <f t="shared" si="9"/>
        <v>10.3 - [Name of sub-vote]</v>
      </c>
      <c r="E104" s="800"/>
    </row>
    <row r="105" spans="2:5" x14ac:dyDescent="0.2">
      <c r="B105" s="802">
        <v>10.4</v>
      </c>
      <c r="C105" s="801" t="s">
        <v>1024</v>
      </c>
      <c r="D105" s="797" t="str">
        <f t="shared" si="9"/>
        <v>10.4 - [Name of sub-vote]</v>
      </c>
      <c r="E105" s="800"/>
    </row>
    <row r="106" spans="2:5" x14ac:dyDescent="0.2">
      <c r="B106" s="802">
        <v>10.5</v>
      </c>
      <c r="C106" s="801" t="s">
        <v>1024</v>
      </c>
      <c r="D106" s="797" t="str">
        <f t="shared" si="9"/>
        <v>10.5 - [Name of sub-vote]</v>
      </c>
      <c r="E106" s="800"/>
    </row>
    <row r="107" spans="2:5" x14ac:dyDescent="0.2">
      <c r="B107" s="802">
        <v>10.6</v>
      </c>
      <c r="C107" s="801" t="s">
        <v>1024</v>
      </c>
      <c r="D107" s="797" t="str">
        <f t="shared" si="9"/>
        <v>10.6 - [Name of sub-vote]</v>
      </c>
      <c r="E107" s="800"/>
    </row>
    <row r="108" spans="2:5" x14ac:dyDescent="0.2">
      <c r="B108" s="802">
        <v>10.7</v>
      </c>
      <c r="C108" s="801" t="s">
        <v>1024</v>
      </c>
      <c r="D108" s="797" t="str">
        <f t="shared" si="9"/>
        <v>10.7 - [Name of sub-vote]</v>
      </c>
      <c r="E108" s="800"/>
    </row>
    <row r="109" spans="2:5" x14ac:dyDescent="0.2">
      <c r="B109" s="802">
        <v>10.8</v>
      </c>
      <c r="C109" s="801" t="s">
        <v>1024</v>
      </c>
      <c r="D109" s="797" t="str">
        <f t="shared" si="9"/>
        <v>10.8 - [Name of sub-vote]</v>
      </c>
      <c r="E109" s="800"/>
    </row>
    <row r="110" spans="2:5" x14ac:dyDescent="0.2">
      <c r="B110" s="802">
        <v>10.9</v>
      </c>
      <c r="C110" s="801" t="s">
        <v>1024</v>
      </c>
      <c r="D110" s="797" t="str">
        <f t="shared" si="9"/>
        <v>10.9 - [Name of sub-vote]</v>
      </c>
      <c r="E110" s="800"/>
    </row>
    <row r="111" spans="2:5" x14ac:dyDescent="0.2">
      <c r="B111" s="802" t="s">
        <v>1040</v>
      </c>
      <c r="C111" s="801" t="s">
        <v>1024</v>
      </c>
      <c r="D111" s="797" t="str">
        <f t="shared" si="9"/>
        <v>10.10 - [Name of sub-vote]</v>
      </c>
      <c r="E111" s="800"/>
    </row>
    <row r="112" spans="2:5" x14ac:dyDescent="0.2">
      <c r="B112" s="804" t="s">
        <v>817</v>
      </c>
      <c r="C112" s="803" t="s">
        <v>1039</v>
      </c>
      <c r="E112" s="800"/>
    </row>
    <row r="113" spans="2:5" x14ac:dyDescent="0.2">
      <c r="B113" s="802">
        <v>11.1</v>
      </c>
      <c r="C113" s="801" t="s">
        <v>1024</v>
      </c>
      <c r="D113" s="797" t="str">
        <f t="shared" ref="D113:D122" si="10">CONCATENATE(B113, " - ", C113)</f>
        <v>11.1 - [Name of sub-vote]</v>
      </c>
      <c r="E113" s="800" t="s">
        <v>1038</v>
      </c>
    </row>
    <row r="114" spans="2:5" x14ac:dyDescent="0.2">
      <c r="B114" s="802">
        <v>11.2</v>
      </c>
      <c r="C114" s="801" t="s">
        <v>1024</v>
      </c>
      <c r="D114" s="797" t="str">
        <f t="shared" si="10"/>
        <v>11.2 - [Name of sub-vote]</v>
      </c>
      <c r="E114" s="800"/>
    </row>
    <row r="115" spans="2:5" x14ac:dyDescent="0.2">
      <c r="B115" s="802">
        <v>11.3</v>
      </c>
      <c r="C115" s="801" t="s">
        <v>1024</v>
      </c>
      <c r="D115" s="797" t="str">
        <f t="shared" si="10"/>
        <v>11.3 - [Name of sub-vote]</v>
      </c>
      <c r="E115" s="800"/>
    </row>
    <row r="116" spans="2:5" x14ac:dyDescent="0.2">
      <c r="B116" s="802">
        <v>11.4</v>
      </c>
      <c r="C116" s="801" t="s">
        <v>1024</v>
      </c>
      <c r="D116" s="797" t="str">
        <f t="shared" si="10"/>
        <v>11.4 - [Name of sub-vote]</v>
      </c>
      <c r="E116" s="800"/>
    </row>
    <row r="117" spans="2:5" x14ac:dyDescent="0.2">
      <c r="B117" s="802">
        <v>11.5</v>
      </c>
      <c r="C117" s="801" t="s">
        <v>1024</v>
      </c>
      <c r="D117" s="797" t="str">
        <f t="shared" si="10"/>
        <v>11.5 - [Name of sub-vote]</v>
      </c>
      <c r="E117" s="800"/>
    </row>
    <row r="118" spans="2:5" x14ac:dyDescent="0.2">
      <c r="B118" s="802">
        <v>11.6</v>
      </c>
      <c r="C118" s="801" t="s">
        <v>1024</v>
      </c>
      <c r="D118" s="797" t="str">
        <f t="shared" si="10"/>
        <v>11.6 - [Name of sub-vote]</v>
      </c>
      <c r="E118" s="800"/>
    </row>
    <row r="119" spans="2:5" x14ac:dyDescent="0.2">
      <c r="B119" s="802">
        <v>11.7</v>
      </c>
      <c r="C119" s="801" t="s">
        <v>1024</v>
      </c>
      <c r="D119" s="797" t="str">
        <f t="shared" si="10"/>
        <v>11.7 - [Name of sub-vote]</v>
      </c>
      <c r="E119" s="800"/>
    </row>
    <row r="120" spans="2:5" x14ac:dyDescent="0.2">
      <c r="B120" s="802">
        <v>11.8</v>
      </c>
      <c r="C120" s="801" t="s">
        <v>1024</v>
      </c>
      <c r="D120" s="797" t="str">
        <f t="shared" si="10"/>
        <v>11.8 - [Name of sub-vote]</v>
      </c>
      <c r="E120" s="800"/>
    </row>
    <row r="121" spans="2:5" x14ac:dyDescent="0.2">
      <c r="B121" s="802">
        <v>11.9</v>
      </c>
      <c r="C121" s="801" t="s">
        <v>1024</v>
      </c>
      <c r="D121" s="797" t="str">
        <f t="shared" si="10"/>
        <v>11.9 - [Name of sub-vote]</v>
      </c>
      <c r="E121" s="800"/>
    </row>
    <row r="122" spans="2:5" x14ac:dyDescent="0.2">
      <c r="B122" s="802" t="s">
        <v>1037</v>
      </c>
      <c r="C122" s="801" t="s">
        <v>1024</v>
      </c>
      <c r="D122" s="797" t="str">
        <f t="shared" si="10"/>
        <v>11.10 - [Name of sub-vote]</v>
      </c>
      <c r="E122" s="800"/>
    </row>
    <row r="123" spans="2:5" x14ac:dyDescent="0.2">
      <c r="B123" s="804" t="s">
        <v>816</v>
      </c>
      <c r="C123" s="803" t="s">
        <v>1036</v>
      </c>
      <c r="E123" s="800"/>
    </row>
    <row r="124" spans="2:5" x14ac:dyDescent="0.2">
      <c r="B124" s="802">
        <v>12.1</v>
      </c>
      <c r="C124" s="801" t="s">
        <v>1024</v>
      </c>
      <c r="D124" s="797" t="str">
        <f t="shared" ref="D124:D133" si="11">CONCATENATE(B124, " - ", C124)</f>
        <v>12.1 - [Name of sub-vote]</v>
      </c>
      <c r="E124" s="800" t="s">
        <v>1035</v>
      </c>
    </row>
    <row r="125" spans="2:5" x14ac:dyDescent="0.2">
      <c r="B125" s="802">
        <v>12.2</v>
      </c>
      <c r="C125" s="801" t="s">
        <v>1024</v>
      </c>
      <c r="D125" s="797" t="str">
        <f t="shared" si="11"/>
        <v>12.2 - [Name of sub-vote]</v>
      </c>
      <c r="E125" s="800"/>
    </row>
    <row r="126" spans="2:5" x14ac:dyDescent="0.2">
      <c r="B126" s="802">
        <v>12.3</v>
      </c>
      <c r="C126" s="801" t="s">
        <v>1024</v>
      </c>
      <c r="D126" s="797" t="str">
        <f t="shared" si="11"/>
        <v>12.3 - [Name of sub-vote]</v>
      </c>
      <c r="E126" s="800"/>
    </row>
    <row r="127" spans="2:5" x14ac:dyDescent="0.2">
      <c r="B127" s="802">
        <v>12.4</v>
      </c>
      <c r="C127" s="801" t="s">
        <v>1024</v>
      </c>
      <c r="D127" s="797" t="str">
        <f t="shared" si="11"/>
        <v>12.4 - [Name of sub-vote]</v>
      </c>
      <c r="E127" s="800"/>
    </row>
    <row r="128" spans="2:5" x14ac:dyDescent="0.2">
      <c r="B128" s="802">
        <v>12.5</v>
      </c>
      <c r="C128" s="801" t="s">
        <v>1024</v>
      </c>
      <c r="D128" s="797" t="str">
        <f t="shared" si="11"/>
        <v>12.5 - [Name of sub-vote]</v>
      </c>
      <c r="E128" s="800"/>
    </row>
    <row r="129" spans="2:5" x14ac:dyDescent="0.2">
      <c r="B129" s="802">
        <v>12.6</v>
      </c>
      <c r="C129" s="801" t="s">
        <v>1024</v>
      </c>
      <c r="D129" s="797" t="str">
        <f t="shared" si="11"/>
        <v>12.6 - [Name of sub-vote]</v>
      </c>
      <c r="E129" s="800"/>
    </row>
    <row r="130" spans="2:5" x14ac:dyDescent="0.2">
      <c r="B130" s="802">
        <v>12.7</v>
      </c>
      <c r="C130" s="801" t="s">
        <v>1024</v>
      </c>
      <c r="D130" s="797" t="str">
        <f t="shared" si="11"/>
        <v>12.7 - [Name of sub-vote]</v>
      </c>
      <c r="E130" s="800"/>
    </row>
    <row r="131" spans="2:5" x14ac:dyDescent="0.2">
      <c r="B131" s="802">
        <v>12.8</v>
      </c>
      <c r="C131" s="801" t="s">
        <v>1024</v>
      </c>
      <c r="D131" s="797" t="str">
        <f t="shared" si="11"/>
        <v>12.8 - [Name of sub-vote]</v>
      </c>
      <c r="E131" s="800"/>
    </row>
    <row r="132" spans="2:5" x14ac:dyDescent="0.2">
      <c r="B132" s="802">
        <v>12.9</v>
      </c>
      <c r="C132" s="801" t="s">
        <v>1024</v>
      </c>
      <c r="D132" s="797" t="str">
        <f t="shared" si="11"/>
        <v>12.9 - [Name of sub-vote]</v>
      </c>
      <c r="E132" s="800"/>
    </row>
    <row r="133" spans="2:5" x14ac:dyDescent="0.2">
      <c r="B133" s="802" t="s">
        <v>1034</v>
      </c>
      <c r="C133" s="801" t="s">
        <v>1024</v>
      </c>
      <c r="D133" s="797" t="str">
        <f t="shared" si="11"/>
        <v>12.10 - [Name of sub-vote]</v>
      </c>
      <c r="E133" s="800"/>
    </row>
    <row r="134" spans="2:5" x14ac:dyDescent="0.2">
      <c r="B134" s="804" t="s">
        <v>815</v>
      </c>
      <c r="C134" s="803" t="s">
        <v>1033</v>
      </c>
      <c r="E134" s="800"/>
    </row>
    <row r="135" spans="2:5" x14ac:dyDescent="0.2">
      <c r="B135" s="802">
        <v>13.1</v>
      </c>
      <c r="C135" s="801" t="s">
        <v>1024</v>
      </c>
      <c r="D135" s="797" t="str">
        <f t="shared" ref="D135:D144" si="12">CONCATENATE(B135, " - ", C135)</f>
        <v>13.1 - [Name of sub-vote]</v>
      </c>
      <c r="E135" s="800" t="s">
        <v>1032</v>
      </c>
    </row>
    <row r="136" spans="2:5" x14ac:dyDescent="0.2">
      <c r="B136" s="802">
        <v>13.2</v>
      </c>
      <c r="C136" s="801" t="s">
        <v>1024</v>
      </c>
      <c r="D136" s="797" t="str">
        <f t="shared" si="12"/>
        <v>13.2 - [Name of sub-vote]</v>
      </c>
      <c r="E136" s="800"/>
    </row>
    <row r="137" spans="2:5" x14ac:dyDescent="0.2">
      <c r="B137" s="802">
        <v>13.3</v>
      </c>
      <c r="C137" s="801" t="s">
        <v>1024</v>
      </c>
      <c r="D137" s="797" t="str">
        <f t="shared" si="12"/>
        <v>13.3 - [Name of sub-vote]</v>
      </c>
      <c r="E137" s="800"/>
    </row>
    <row r="138" spans="2:5" x14ac:dyDescent="0.2">
      <c r="B138" s="802">
        <v>13.4</v>
      </c>
      <c r="C138" s="801" t="s">
        <v>1024</v>
      </c>
      <c r="D138" s="797" t="str">
        <f t="shared" si="12"/>
        <v>13.4 - [Name of sub-vote]</v>
      </c>
      <c r="E138" s="800"/>
    </row>
    <row r="139" spans="2:5" x14ac:dyDescent="0.2">
      <c r="B139" s="802">
        <v>13.5</v>
      </c>
      <c r="C139" s="801" t="s">
        <v>1024</v>
      </c>
      <c r="D139" s="797" t="str">
        <f t="shared" si="12"/>
        <v>13.5 - [Name of sub-vote]</v>
      </c>
      <c r="E139" s="800"/>
    </row>
    <row r="140" spans="2:5" x14ac:dyDescent="0.2">
      <c r="B140" s="802">
        <v>13.6</v>
      </c>
      <c r="C140" s="801" t="s">
        <v>1024</v>
      </c>
      <c r="D140" s="797" t="str">
        <f t="shared" si="12"/>
        <v>13.6 - [Name of sub-vote]</v>
      </c>
      <c r="E140" s="800"/>
    </row>
    <row r="141" spans="2:5" x14ac:dyDescent="0.2">
      <c r="B141" s="802">
        <v>13.7</v>
      </c>
      <c r="C141" s="801" t="s">
        <v>1024</v>
      </c>
      <c r="D141" s="797" t="str">
        <f t="shared" si="12"/>
        <v>13.7 - [Name of sub-vote]</v>
      </c>
      <c r="E141" s="800"/>
    </row>
    <row r="142" spans="2:5" x14ac:dyDescent="0.2">
      <c r="B142" s="802">
        <v>13.8</v>
      </c>
      <c r="C142" s="801" t="s">
        <v>1024</v>
      </c>
      <c r="D142" s="797" t="str">
        <f t="shared" si="12"/>
        <v>13.8 - [Name of sub-vote]</v>
      </c>
      <c r="E142" s="800"/>
    </row>
    <row r="143" spans="2:5" x14ac:dyDescent="0.2">
      <c r="B143" s="802">
        <v>13.9</v>
      </c>
      <c r="C143" s="801" t="s">
        <v>1024</v>
      </c>
      <c r="D143" s="797" t="str">
        <f t="shared" si="12"/>
        <v>13.9 - [Name of sub-vote]</v>
      </c>
      <c r="E143" s="800"/>
    </row>
    <row r="144" spans="2:5" x14ac:dyDescent="0.2">
      <c r="B144" s="802" t="s">
        <v>1031</v>
      </c>
      <c r="C144" s="801" t="s">
        <v>1024</v>
      </c>
      <c r="D144" s="797" t="str">
        <f t="shared" si="12"/>
        <v>13.10 - [Name of sub-vote]</v>
      </c>
      <c r="E144" s="800"/>
    </row>
    <row r="145" spans="2:5" x14ac:dyDescent="0.2">
      <c r="B145" s="804" t="s">
        <v>814</v>
      </c>
      <c r="C145" s="803" t="s">
        <v>1030</v>
      </c>
      <c r="E145" s="800"/>
    </row>
    <row r="146" spans="2:5" x14ac:dyDescent="0.2">
      <c r="B146" s="802">
        <v>14.1</v>
      </c>
      <c r="C146" s="801" t="s">
        <v>1024</v>
      </c>
      <c r="D146" s="797" t="str">
        <f t="shared" ref="D146:D155" si="13">CONCATENATE(B146, " - ", C146)</f>
        <v>14.1 - [Name of sub-vote]</v>
      </c>
      <c r="E146" s="800" t="s">
        <v>1029</v>
      </c>
    </row>
    <row r="147" spans="2:5" x14ac:dyDescent="0.2">
      <c r="B147" s="802">
        <v>14.2</v>
      </c>
      <c r="C147" s="801" t="s">
        <v>1024</v>
      </c>
      <c r="D147" s="797" t="str">
        <f t="shared" si="13"/>
        <v>14.2 - [Name of sub-vote]</v>
      </c>
      <c r="E147" s="800"/>
    </row>
    <row r="148" spans="2:5" x14ac:dyDescent="0.2">
      <c r="B148" s="802">
        <v>14.3</v>
      </c>
      <c r="C148" s="801" t="s">
        <v>1024</v>
      </c>
      <c r="D148" s="797" t="str">
        <f t="shared" si="13"/>
        <v>14.3 - [Name of sub-vote]</v>
      </c>
      <c r="E148" s="800"/>
    </row>
    <row r="149" spans="2:5" x14ac:dyDescent="0.2">
      <c r="B149" s="802">
        <v>14.4</v>
      </c>
      <c r="C149" s="801" t="s">
        <v>1024</v>
      </c>
      <c r="D149" s="797" t="str">
        <f t="shared" si="13"/>
        <v>14.4 - [Name of sub-vote]</v>
      </c>
      <c r="E149" s="800"/>
    </row>
    <row r="150" spans="2:5" x14ac:dyDescent="0.2">
      <c r="B150" s="802">
        <v>14.5</v>
      </c>
      <c r="C150" s="801" t="s">
        <v>1024</v>
      </c>
      <c r="D150" s="797" t="str">
        <f t="shared" si="13"/>
        <v>14.5 - [Name of sub-vote]</v>
      </c>
      <c r="E150" s="800"/>
    </row>
    <row r="151" spans="2:5" x14ac:dyDescent="0.2">
      <c r="B151" s="802">
        <v>14.6</v>
      </c>
      <c r="C151" s="801" t="s">
        <v>1024</v>
      </c>
      <c r="D151" s="797" t="str">
        <f t="shared" si="13"/>
        <v>14.6 - [Name of sub-vote]</v>
      </c>
      <c r="E151" s="800"/>
    </row>
    <row r="152" spans="2:5" x14ac:dyDescent="0.2">
      <c r="B152" s="802">
        <v>14.7</v>
      </c>
      <c r="C152" s="801" t="s">
        <v>1024</v>
      </c>
      <c r="D152" s="797" t="str">
        <f t="shared" si="13"/>
        <v>14.7 - [Name of sub-vote]</v>
      </c>
      <c r="E152" s="800"/>
    </row>
    <row r="153" spans="2:5" x14ac:dyDescent="0.2">
      <c r="B153" s="802">
        <v>14.8</v>
      </c>
      <c r="C153" s="801" t="s">
        <v>1024</v>
      </c>
      <c r="D153" s="797" t="str">
        <f t="shared" si="13"/>
        <v>14.8 - [Name of sub-vote]</v>
      </c>
      <c r="E153" s="800"/>
    </row>
    <row r="154" spans="2:5" x14ac:dyDescent="0.2">
      <c r="B154" s="802">
        <v>14.9</v>
      </c>
      <c r="C154" s="801" t="s">
        <v>1024</v>
      </c>
      <c r="D154" s="797" t="str">
        <f t="shared" si="13"/>
        <v>14.9 - [Name of sub-vote]</v>
      </c>
      <c r="E154" s="800"/>
    </row>
    <row r="155" spans="2:5" x14ac:dyDescent="0.2">
      <c r="B155" s="802" t="s">
        <v>1028</v>
      </c>
      <c r="C155" s="801" t="s">
        <v>1024</v>
      </c>
      <c r="D155" s="797" t="str">
        <f t="shared" si="13"/>
        <v>14.10 - [Name of sub-vote]</v>
      </c>
      <c r="E155" s="800"/>
    </row>
    <row r="156" spans="2:5" x14ac:dyDescent="0.2">
      <c r="B156" s="804" t="s">
        <v>813</v>
      </c>
      <c r="C156" s="803" t="s">
        <v>1027</v>
      </c>
      <c r="E156" s="800"/>
    </row>
    <row r="157" spans="2:5" x14ac:dyDescent="0.2">
      <c r="B157" s="802">
        <v>15.1</v>
      </c>
      <c r="C157" s="801" t="s">
        <v>1024</v>
      </c>
      <c r="D157" s="797" t="str">
        <f t="shared" ref="D157:D166" si="14">CONCATENATE(B157, " - ", C157)</f>
        <v>15.1 - [Name of sub-vote]</v>
      </c>
      <c r="E157" s="800" t="s">
        <v>1026</v>
      </c>
    </row>
    <row r="158" spans="2:5" x14ac:dyDescent="0.2">
      <c r="B158" s="802">
        <v>15.2</v>
      </c>
      <c r="C158" s="801" t="s">
        <v>1024</v>
      </c>
      <c r="D158" s="797" t="str">
        <f t="shared" si="14"/>
        <v>15.2 - [Name of sub-vote]</v>
      </c>
      <c r="E158" s="800"/>
    </row>
    <row r="159" spans="2:5" x14ac:dyDescent="0.2">
      <c r="B159" s="802">
        <v>15.3</v>
      </c>
      <c r="C159" s="801" t="s">
        <v>1024</v>
      </c>
      <c r="D159" s="797" t="str">
        <f t="shared" si="14"/>
        <v>15.3 - [Name of sub-vote]</v>
      </c>
      <c r="E159" s="800"/>
    </row>
    <row r="160" spans="2:5" x14ac:dyDescent="0.2">
      <c r="B160" s="802">
        <v>15.4</v>
      </c>
      <c r="C160" s="801" t="s">
        <v>1024</v>
      </c>
      <c r="D160" s="797" t="str">
        <f t="shared" si="14"/>
        <v>15.4 - [Name of sub-vote]</v>
      </c>
      <c r="E160" s="800"/>
    </row>
    <row r="161" spans="2:5" x14ac:dyDescent="0.2">
      <c r="B161" s="802">
        <v>15.5</v>
      </c>
      <c r="C161" s="801" t="s">
        <v>1024</v>
      </c>
      <c r="D161" s="797" t="str">
        <f t="shared" si="14"/>
        <v>15.5 - [Name of sub-vote]</v>
      </c>
      <c r="E161" s="800"/>
    </row>
    <row r="162" spans="2:5" x14ac:dyDescent="0.2">
      <c r="B162" s="802">
        <v>15.6</v>
      </c>
      <c r="C162" s="801" t="s">
        <v>1024</v>
      </c>
      <c r="D162" s="797" t="str">
        <f t="shared" si="14"/>
        <v>15.6 - [Name of sub-vote]</v>
      </c>
      <c r="E162" s="800"/>
    </row>
    <row r="163" spans="2:5" x14ac:dyDescent="0.2">
      <c r="B163" s="802">
        <v>15.7</v>
      </c>
      <c r="C163" s="801" t="s">
        <v>1024</v>
      </c>
      <c r="D163" s="797" t="str">
        <f t="shared" si="14"/>
        <v>15.7 - [Name of sub-vote]</v>
      </c>
      <c r="E163" s="800"/>
    </row>
    <row r="164" spans="2:5" x14ac:dyDescent="0.2">
      <c r="B164" s="802">
        <v>15.8</v>
      </c>
      <c r="C164" s="801" t="s">
        <v>1024</v>
      </c>
      <c r="D164" s="797" t="str">
        <f t="shared" si="14"/>
        <v>15.8 - [Name of sub-vote]</v>
      </c>
      <c r="E164" s="800"/>
    </row>
    <row r="165" spans="2:5" x14ac:dyDescent="0.2">
      <c r="B165" s="802">
        <v>15.9</v>
      </c>
      <c r="C165" s="801" t="s">
        <v>1024</v>
      </c>
      <c r="D165" s="797" t="str">
        <f t="shared" si="14"/>
        <v>15.9 - [Name of sub-vote]</v>
      </c>
      <c r="E165" s="800"/>
    </row>
    <row r="166" spans="2:5" x14ac:dyDescent="0.2">
      <c r="B166" s="802" t="s">
        <v>1025</v>
      </c>
      <c r="C166" s="801" t="s">
        <v>1024</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88" workbookViewId="0">
      <selection activeCell="B74" sqref="B74"/>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LIM333 Greater Tzaneen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LIM333 Greater Tzaneen</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LIM LIMPOPO</v>
      </c>
      <c r="C8" s="997"/>
      <c r="D8" s="997"/>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t="s">
        <v>1432</v>
      </c>
      <c r="C10" s="846"/>
      <c r="D10" s="847"/>
      <c r="F10" s="824"/>
      <c r="G10" s="823"/>
      <c r="H10" s="824"/>
      <c r="I10" s="824"/>
      <c r="J10" s="823"/>
      <c r="K10" s="825"/>
      <c r="L10" s="825"/>
      <c r="M10" s="825"/>
      <c r="N10" s="825"/>
      <c r="O10" s="825"/>
      <c r="P10" s="826"/>
      <c r="Q10" s="827"/>
    </row>
    <row r="11" spans="1:17" ht="13.5" customHeight="1" x14ac:dyDescent="0.2">
      <c r="A11" s="848"/>
      <c r="B11" s="849"/>
      <c r="C11" s="998"/>
      <c r="D11" s="999"/>
      <c r="F11" s="824"/>
      <c r="G11" s="823"/>
      <c r="H11" s="824"/>
      <c r="I11" s="824"/>
      <c r="J11" s="823"/>
      <c r="K11" s="825"/>
      <c r="L11" s="825"/>
      <c r="M11" s="825"/>
      <c r="N11" s="825"/>
      <c r="O11" s="825"/>
      <c r="P11" s="826"/>
      <c r="Q11" s="830"/>
    </row>
    <row r="12" spans="1:17" ht="13.5" customHeight="1" x14ac:dyDescent="0.2">
      <c r="A12" s="844" t="s">
        <v>350</v>
      </c>
      <c r="B12" s="850" t="s">
        <v>1433</v>
      </c>
      <c r="C12" s="851"/>
      <c r="D12" s="851"/>
      <c r="F12" s="824"/>
      <c r="G12" s="824"/>
      <c r="H12" s="824"/>
      <c r="I12" s="824"/>
      <c r="J12" s="823"/>
      <c r="K12" s="825"/>
      <c r="L12" s="825"/>
      <c r="M12" s="825"/>
      <c r="N12" s="825"/>
      <c r="O12" s="825"/>
      <c r="P12" s="826"/>
      <c r="Q12" s="827"/>
    </row>
    <row r="13" spans="1:17" ht="13.5" customHeight="1" x14ac:dyDescent="0.2">
      <c r="A13" s="852"/>
      <c r="B13" s="853"/>
      <c r="C13" s="1000"/>
      <c r="D13" s="1000"/>
      <c r="F13" s="824"/>
      <c r="G13" s="824"/>
      <c r="H13" s="824"/>
      <c r="I13" s="854"/>
      <c r="J13" s="824"/>
      <c r="K13" s="825"/>
      <c r="L13" s="825"/>
      <c r="M13" s="825"/>
      <c r="N13" s="825"/>
      <c r="O13" s="825"/>
      <c r="P13" s="826"/>
    </row>
    <row r="14" spans="1:17" ht="13.5" customHeight="1" thickBot="1" x14ac:dyDescent="0.25">
      <c r="A14" s="1001" t="s">
        <v>351</v>
      </c>
      <c r="B14" s="1002"/>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t="s">
        <v>1434</v>
      </c>
      <c r="C16" s="813"/>
      <c r="D16" s="813"/>
      <c r="E16" s="835"/>
      <c r="F16" s="855"/>
      <c r="G16" s="854"/>
      <c r="H16" s="855"/>
      <c r="I16" s="855"/>
      <c r="J16" s="824"/>
      <c r="K16" s="825"/>
      <c r="L16" s="825"/>
      <c r="M16" s="825"/>
      <c r="N16" s="825"/>
      <c r="O16" s="825"/>
      <c r="P16" s="826"/>
      <c r="Q16" s="814"/>
    </row>
    <row r="17" spans="1:17" ht="13.5" customHeight="1" x14ac:dyDescent="0.2">
      <c r="A17" s="858" t="s">
        <v>354</v>
      </c>
      <c r="B17" s="859" t="s">
        <v>1435</v>
      </c>
      <c r="F17" s="855"/>
      <c r="G17" s="855"/>
      <c r="H17" s="855"/>
      <c r="I17" s="855"/>
      <c r="J17" s="854"/>
      <c r="K17" s="825"/>
      <c r="L17" s="825"/>
      <c r="M17" s="825"/>
      <c r="N17" s="825"/>
      <c r="O17" s="825"/>
      <c r="P17" s="826"/>
    </row>
    <row r="18" spans="1:17" ht="13.5" customHeight="1" x14ac:dyDescent="0.2">
      <c r="A18" s="860" t="s">
        <v>355</v>
      </c>
      <c r="B18" s="861" t="s">
        <v>1436</v>
      </c>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t="s">
        <v>1437</v>
      </c>
      <c r="F21" s="855"/>
      <c r="G21" s="855"/>
      <c r="H21" s="855"/>
      <c r="I21" s="855"/>
      <c r="J21" s="855"/>
      <c r="K21" s="825"/>
      <c r="L21" s="825"/>
      <c r="M21" s="825"/>
      <c r="N21" s="825"/>
      <c r="O21" s="825"/>
      <c r="P21" s="826"/>
    </row>
    <row r="22" spans="1:17" ht="13.5" customHeight="1" x14ac:dyDescent="0.2">
      <c r="A22" s="858" t="s">
        <v>358</v>
      </c>
      <c r="B22" s="859" t="s">
        <v>1438</v>
      </c>
      <c r="F22" s="855"/>
      <c r="G22" s="855"/>
      <c r="H22" s="855"/>
      <c r="I22" s="855"/>
      <c r="J22" s="855"/>
      <c r="K22" s="825"/>
      <c r="L22" s="825"/>
      <c r="M22" s="825"/>
      <c r="N22" s="825"/>
      <c r="O22" s="825"/>
      <c r="P22" s="826"/>
    </row>
    <row r="23" spans="1:17" ht="13.5" customHeight="1" x14ac:dyDescent="0.2">
      <c r="A23" s="858" t="s">
        <v>354</v>
      </c>
      <c r="B23" s="859" t="s">
        <v>1435</v>
      </c>
      <c r="F23" s="855"/>
      <c r="G23" s="855"/>
      <c r="H23" s="855"/>
      <c r="I23" s="855"/>
      <c r="J23" s="855"/>
      <c r="K23" s="825"/>
      <c r="L23" s="825"/>
      <c r="M23" s="825"/>
      <c r="N23" s="825"/>
      <c r="O23" s="825"/>
      <c r="P23" s="826"/>
    </row>
    <row r="24" spans="1:17" ht="13.5" customHeight="1" x14ac:dyDescent="0.2">
      <c r="A24" s="860" t="s">
        <v>355</v>
      </c>
      <c r="B24" s="861" t="s">
        <v>1436</v>
      </c>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t="s">
        <v>1439</v>
      </c>
      <c r="F27" s="855"/>
      <c r="G27" s="855"/>
      <c r="H27" s="855"/>
      <c r="I27" s="855"/>
      <c r="J27" s="855"/>
      <c r="K27" s="825"/>
      <c r="L27" s="825"/>
      <c r="M27" s="825"/>
      <c r="N27" s="825"/>
      <c r="O27" s="825"/>
      <c r="P27" s="826"/>
    </row>
    <row r="28" spans="1:17" ht="13.5" customHeight="1" x14ac:dyDescent="0.2">
      <c r="A28" s="860" t="s">
        <v>361</v>
      </c>
      <c r="B28" s="868" t="s">
        <v>1440</v>
      </c>
      <c r="J28" s="855"/>
      <c r="K28" s="855"/>
      <c r="L28" s="855"/>
      <c r="M28" s="855"/>
      <c r="N28" s="855"/>
      <c r="O28" s="855"/>
      <c r="P28" s="826"/>
    </row>
    <row r="29" spans="1:17" ht="13.5" customHeight="1" x14ac:dyDescent="0.2">
      <c r="A29" s="862"/>
      <c r="B29" s="869"/>
      <c r="P29" s="826"/>
    </row>
    <row r="30" spans="1:17" ht="13.5" customHeight="1" thickBot="1" x14ac:dyDescent="0.25">
      <c r="A30" s="1003" t="s">
        <v>362</v>
      </c>
      <c r="B30" s="1004"/>
      <c r="C30" s="1005"/>
      <c r="D30" s="1006"/>
      <c r="P30" s="826"/>
    </row>
    <row r="31" spans="1:17" ht="13.5" customHeight="1" thickTop="1" x14ac:dyDescent="0.2">
      <c r="A31" s="864" t="s">
        <v>363</v>
      </c>
      <c r="B31" s="865"/>
      <c r="C31" s="1007" t="s">
        <v>364</v>
      </c>
      <c r="D31" s="1011"/>
      <c r="P31" s="826"/>
    </row>
    <row r="32" spans="1:17" s="923" customFormat="1" ht="13.5" customHeight="1" x14ac:dyDescent="0.2">
      <c r="A32" s="918" t="s">
        <v>1124</v>
      </c>
      <c r="B32" s="919" t="s">
        <v>1441</v>
      </c>
      <c r="C32" s="918" t="s">
        <v>1124</v>
      </c>
      <c r="D32" s="919" t="s">
        <v>1447</v>
      </c>
      <c r="E32" s="920"/>
      <c r="F32" s="921"/>
      <c r="G32" s="921"/>
      <c r="H32" s="921"/>
      <c r="I32" s="647"/>
      <c r="J32" s="647"/>
      <c r="K32" s="647"/>
      <c r="L32" s="647"/>
      <c r="M32" s="647"/>
      <c r="N32" s="647"/>
      <c r="O32" s="647"/>
      <c r="P32" s="922"/>
      <c r="Q32" s="647"/>
    </row>
    <row r="33" spans="1:17" s="923" customFormat="1" ht="13.5" customHeight="1" x14ac:dyDescent="0.2">
      <c r="A33" s="918" t="s">
        <v>1125</v>
      </c>
      <c r="B33" s="919" t="s">
        <v>1442</v>
      </c>
      <c r="C33" s="918" t="s">
        <v>1125</v>
      </c>
      <c r="D33" s="919" t="s">
        <v>1442</v>
      </c>
      <c r="E33" s="920"/>
      <c r="F33" s="921"/>
      <c r="G33" s="921"/>
      <c r="H33" s="921"/>
      <c r="I33" s="647"/>
      <c r="J33" s="647"/>
      <c r="K33" s="647"/>
      <c r="L33" s="647"/>
      <c r="M33" s="647"/>
      <c r="N33" s="647"/>
      <c r="O33" s="647"/>
      <c r="P33" s="922"/>
      <c r="Q33" s="647"/>
    </row>
    <row r="34" spans="1:17" ht="13.5" customHeight="1" x14ac:dyDescent="0.2">
      <c r="A34" s="858" t="s">
        <v>365</v>
      </c>
      <c r="B34" s="870" t="s">
        <v>1443</v>
      </c>
      <c r="C34" s="858" t="s">
        <v>365</v>
      </c>
      <c r="D34" s="870" t="s">
        <v>1448</v>
      </c>
      <c r="P34" s="826"/>
    </row>
    <row r="35" spans="1:17" ht="13.5" customHeight="1" x14ac:dyDescent="0.2">
      <c r="A35" s="858" t="s">
        <v>360</v>
      </c>
      <c r="B35" s="870" t="s">
        <v>1444</v>
      </c>
      <c r="C35" s="858" t="s">
        <v>360</v>
      </c>
      <c r="D35" s="870" t="s">
        <v>1444</v>
      </c>
      <c r="F35" s="823"/>
      <c r="G35" s="825"/>
      <c r="P35" s="826"/>
    </row>
    <row r="36" spans="1:17" ht="13.5" customHeight="1" x14ac:dyDescent="0.2">
      <c r="A36" s="858" t="s">
        <v>366</v>
      </c>
      <c r="B36" s="870" t="s">
        <v>1445</v>
      </c>
      <c r="C36" s="858" t="s">
        <v>366</v>
      </c>
      <c r="D36" s="870" t="s">
        <v>1449</v>
      </c>
      <c r="F36" s="823"/>
      <c r="G36" s="825"/>
      <c r="P36" s="826"/>
    </row>
    <row r="37" spans="1:17" ht="13.5" customHeight="1" x14ac:dyDescent="0.2">
      <c r="A37" s="858" t="s">
        <v>361</v>
      </c>
      <c r="B37" s="870" t="s">
        <v>1440</v>
      </c>
      <c r="C37" s="858" t="s">
        <v>361</v>
      </c>
      <c r="D37" s="870" t="s">
        <v>1450</v>
      </c>
      <c r="F37" s="824"/>
      <c r="G37" s="825"/>
      <c r="P37" s="826"/>
    </row>
    <row r="38" spans="1:17" ht="13.5" customHeight="1" x14ac:dyDescent="0.2">
      <c r="A38" s="858" t="s">
        <v>367</v>
      </c>
      <c r="B38" s="870" t="s">
        <v>1446</v>
      </c>
      <c r="C38" s="858" t="s">
        <v>367</v>
      </c>
      <c r="D38" s="870" t="s">
        <v>1451</v>
      </c>
      <c r="F38" s="824"/>
      <c r="G38" s="825"/>
      <c r="P38" s="826"/>
    </row>
    <row r="39" spans="1:17" ht="13.5" customHeight="1" x14ac:dyDescent="0.2">
      <c r="A39" s="858"/>
      <c r="B39" s="870"/>
      <c r="C39" s="858"/>
      <c r="D39" s="870"/>
      <c r="F39" s="824"/>
      <c r="G39" s="825"/>
      <c r="P39" s="826"/>
    </row>
    <row r="40" spans="1:17" ht="13.5" customHeight="1" x14ac:dyDescent="0.2">
      <c r="A40" s="1009" t="s">
        <v>368</v>
      </c>
      <c r="B40" s="1012"/>
      <c r="C40" s="1009" t="s">
        <v>369</v>
      </c>
      <c r="D40" s="1012"/>
      <c r="F40" s="824"/>
      <c r="G40" s="825"/>
      <c r="P40" s="826"/>
    </row>
    <row r="41" spans="1:17" s="923" customFormat="1" ht="13.5" customHeight="1" x14ac:dyDescent="0.2">
      <c r="A41" s="918" t="s">
        <v>1124</v>
      </c>
      <c r="B41" s="919" t="s">
        <v>1452</v>
      </c>
      <c r="C41" s="918" t="s">
        <v>1124</v>
      </c>
      <c r="D41" s="919" t="s">
        <v>1458</v>
      </c>
      <c r="E41" s="920"/>
      <c r="F41" s="921"/>
      <c r="G41" s="921"/>
      <c r="H41" s="921"/>
      <c r="I41" s="647"/>
      <c r="J41" s="647"/>
      <c r="K41" s="647"/>
      <c r="L41" s="647"/>
      <c r="M41" s="647"/>
      <c r="N41" s="647"/>
      <c r="O41" s="647"/>
      <c r="P41" s="922"/>
      <c r="Q41" s="647"/>
    </row>
    <row r="42" spans="1:17" s="923" customFormat="1" ht="13.5" customHeight="1" x14ac:dyDescent="0.2">
      <c r="A42" s="918" t="s">
        <v>1125</v>
      </c>
      <c r="B42" s="919" t="s">
        <v>1453</v>
      </c>
      <c r="C42" s="918" t="s">
        <v>1125</v>
      </c>
      <c r="D42" s="919" t="s">
        <v>1453</v>
      </c>
      <c r="E42" s="920"/>
      <c r="F42" s="921"/>
      <c r="G42" s="921"/>
      <c r="H42" s="921"/>
      <c r="I42" s="647"/>
      <c r="J42" s="647"/>
      <c r="K42" s="647"/>
      <c r="L42" s="647"/>
      <c r="M42" s="647"/>
      <c r="N42" s="647"/>
      <c r="O42" s="647"/>
      <c r="P42" s="922"/>
      <c r="Q42" s="647"/>
    </row>
    <row r="43" spans="1:17" ht="13.5" customHeight="1" x14ac:dyDescent="0.2">
      <c r="A43" s="858" t="s">
        <v>365</v>
      </c>
      <c r="B43" s="859" t="s">
        <v>1454</v>
      </c>
      <c r="C43" s="858" t="s">
        <v>365</v>
      </c>
      <c r="D43" s="859" t="s">
        <v>1459</v>
      </c>
      <c r="F43" s="824"/>
      <c r="G43" s="825"/>
      <c r="P43" s="826"/>
    </row>
    <row r="44" spans="1:17" ht="13.5" customHeight="1" x14ac:dyDescent="0.2">
      <c r="A44" s="858" t="s">
        <v>360</v>
      </c>
      <c r="B44" s="859" t="s">
        <v>1455</v>
      </c>
      <c r="C44" s="858" t="s">
        <v>360</v>
      </c>
      <c r="D44" s="859" t="s">
        <v>1460</v>
      </c>
      <c r="F44" s="854"/>
      <c r="G44" s="825"/>
      <c r="P44" s="826"/>
    </row>
    <row r="45" spans="1:17" ht="13.5" customHeight="1" x14ac:dyDescent="0.2">
      <c r="A45" s="858" t="s">
        <v>366</v>
      </c>
      <c r="B45" s="859" t="s">
        <v>1456</v>
      </c>
      <c r="C45" s="858" t="s">
        <v>366</v>
      </c>
      <c r="D45" s="859" t="s">
        <v>1461</v>
      </c>
      <c r="F45" s="855"/>
      <c r="G45" s="825"/>
      <c r="P45" s="826"/>
    </row>
    <row r="46" spans="1:17" ht="13.5" customHeight="1" x14ac:dyDescent="0.2">
      <c r="A46" s="858" t="s">
        <v>361</v>
      </c>
      <c r="B46" s="859" t="s">
        <v>1440</v>
      </c>
      <c r="C46" s="858" t="s">
        <v>361</v>
      </c>
      <c r="D46" s="859" t="s">
        <v>1440</v>
      </c>
      <c r="F46" s="855"/>
      <c r="G46" s="825"/>
      <c r="P46" s="826"/>
    </row>
    <row r="47" spans="1:17" ht="13.5" customHeight="1" x14ac:dyDescent="0.2">
      <c r="A47" s="871" t="s">
        <v>367</v>
      </c>
      <c r="B47" s="872" t="s">
        <v>1457</v>
      </c>
      <c r="C47" s="871" t="s">
        <v>367</v>
      </c>
      <c r="D47" s="872" t="s">
        <v>1462</v>
      </c>
      <c r="F47" s="855"/>
      <c r="G47" s="825"/>
      <c r="P47" s="826"/>
    </row>
    <row r="48" spans="1:17" ht="13.5" customHeight="1" x14ac:dyDescent="0.2">
      <c r="A48" s="862"/>
      <c r="B48" s="869"/>
      <c r="C48" s="862"/>
      <c r="D48" s="869"/>
      <c r="F48" s="855"/>
      <c r="G48" s="825"/>
      <c r="P48" s="826"/>
    </row>
    <row r="49" spans="1:17" ht="13.5" customHeight="1" x14ac:dyDescent="0.2">
      <c r="A49" s="1009" t="s">
        <v>370</v>
      </c>
      <c r="B49" s="1012"/>
      <c r="C49" s="1009" t="s">
        <v>371</v>
      </c>
      <c r="D49" s="1012"/>
      <c r="F49" s="855"/>
      <c r="G49" s="825"/>
      <c r="P49" s="826"/>
    </row>
    <row r="50" spans="1:17" s="923" customFormat="1" ht="13.5" customHeight="1" x14ac:dyDescent="0.2">
      <c r="A50" s="918" t="s">
        <v>1124</v>
      </c>
      <c r="B50" s="919"/>
      <c r="C50" s="918" t="s">
        <v>1124</v>
      </c>
      <c r="D50" s="919"/>
      <c r="E50" s="920"/>
      <c r="F50" s="921"/>
      <c r="G50" s="921"/>
      <c r="H50" s="921"/>
      <c r="I50" s="647"/>
      <c r="J50" s="647"/>
      <c r="K50" s="647"/>
      <c r="L50" s="647"/>
      <c r="M50" s="647"/>
      <c r="N50" s="647"/>
      <c r="O50" s="647"/>
      <c r="P50" s="922"/>
      <c r="Q50" s="647"/>
    </row>
    <row r="51" spans="1:17" s="923" customFormat="1" ht="13.5" customHeight="1" x14ac:dyDescent="0.2">
      <c r="A51" s="918" t="s">
        <v>1125</v>
      </c>
      <c r="B51" s="919"/>
      <c r="C51" s="918" t="s">
        <v>1125</v>
      </c>
      <c r="D51" s="919"/>
      <c r="E51" s="920"/>
      <c r="F51" s="921"/>
      <c r="G51" s="921"/>
      <c r="H51" s="921"/>
      <c r="I51" s="647"/>
      <c r="J51" s="647"/>
      <c r="K51" s="647"/>
      <c r="L51" s="647"/>
      <c r="M51" s="647"/>
      <c r="N51" s="647"/>
      <c r="O51" s="647"/>
      <c r="P51" s="922"/>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13" t="s">
        <v>372</v>
      </c>
      <c r="B58" s="1014"/>
      <c r="C58" s="1005"/>
      <c r="D58" s="1015"/>
      <c r="E58" s="813"/>
      <c r="F58" s="855"/>
      <c r="G58" s="825"/>
      <c r="P58" s="826"/>
    </row>
    <row r="59" spans="1:17" s="875" customFormat="1" ht="13.5" customHeight="1" thickTop="1" x14ac:dyDescent="0.2">
      <c r="A59" s="864" t="s">
        <v>373</v>
      </c>
      <c r="B59" s="865"/>
      <c r="C59" s="1007" t="s">
        <v>374</v>
      </c>
      <c r="D59" s="1008"/>
      <c r="E59" s="815"/>
      <c r="F59" s="873"/>
      <c r="G59" s="874"/>
      <c r="P59" s="826"/>
      <c r="Q59" s="814"/>
    </row>
    <row r="60" spans="1:17" s="923" customFormat="1" ht="13.5" customHeight="1" x14ac:dyDescent="0.2">
      <c r="A60" s="918" t="s">
        <v>1124</v>
      </c>
      <c r="B60" s="919" t="s">
        <v>1577</v>
      </c>
      <c r="C60" s="918" t="s">
        <v>1124</v>
      </c>
      <c r="D60" s="919" t="s">
        <v>1467</v>
      </c>
      <c r="E60" s="920"/>
      <c r="F60" s="921"/>
      <c r="G60" s="921"/>
      <c r="H60" s="921"/>
      <c r="I60" s="647"/>
      <c r="J60" s="647"/>
      <c r="K60" s="647"/>
      <c r="L60" s="647"/>
      <c r="M60" s="647"/>
      <c r="N60" s="647"/>
      <c r="O60" s="647"/>
      <c r="P60" s="922"/>
      <c r="Q60" s="647"/>
    </row>
    <row r="61" spans="1:17" s="923" customFormat="1" ht="13.5" customHeight="1" x14ac:dyDescent="0.2">
      <c r="A61" s="918" t="s">
        <v>1125</v>
      </c>
      <c r="B61" s="919" t="s">
        <v>1453</v>
      </c>
      <c r="C61" s="918" t="s">
        <v>1125</v>
      </c>
      <c r="D61" s="919" t="s">
        <v>1468</v>
      </c>
      <c r="E61" s="920"/>
      <c r="F61" s="921"/>
      <c r="G61" s="921"/>
      <c r="H61" s="921"/>
      <c r="I61" s="647"/>
      <c r="J61" s="647"/>
      <c r="K61" s="647"/>
      <c r="L61" s="647"/>
      <c r="M61" s="647"/>
      <c r="N61" s="647"/>
      <c r="O61" s="647"/>
      <c r="P61" s="922"/>
      <c r="Q61" s="647"/>
    </row>
    <row r="62" spans="1:17" s="875" customFormat="1" ht="13.5" customHeight="1" x14ac:dyDescent="0.2">
      <c r="A62" s="858" t="s">
        <v>365</v>
      </c>
      <c r="B62" s="859" t="s">
        <v>1463</v>
      </c>
      <c r="C62" s="858" t="s">
        <v>365</v>
      </c>
      <c r="D62" s="859" t="s">
        <v>1469</v>
      </c>
      <c r="E62" s="815"/>
      <c r="F62" s="873"/>
      <c r="G62" s="874"/>
      <c r="P62" s="826"/>
      <c r="Q62" s="814"/>
    </row>
    <row r="63" spans="1:17" s="814" customFormat="1" ht="13.5" customHeight="1" x14ac:dyDescent="0.2">
      <c r="A63" s="858" t="s">
        <v>360</v>
      </c>
      <c r="B63" s="859" t="s">
        <v>1464</v>
      </c>
      <c r="C63" s="858" t="s">
        <v>360</v>
      </c>
      <c r="D63" s="859" t="s">
        <v>1470</v>
      </c>
      <c r="E63" s="813"/>
      <c r="F63" s="855"/>
      <c r="G63" s="825"/>
      <c r="P63" s="826"/>
    </row>
    <row r="64" spans="1:17" s="814" customFormat="1" ht="13.5" customHeight="1" x14ac:dyDescent="0.2">
      <c r="A64" s="858" t="s">
        <v>366</v>
      </c>
      <c r="B64" s="859" t="s">
        <v>1465</v>
      </c>
      <c r="C64" s="858" t="s">
        <v>366</v>
      </c>
      <c r="D64" s="859" t="s">
        <v>1471</v>
      </c>
      <c r="E64" s="813"/>
      <c r="F64" s="855"/>
      <c r="G64" s="825"/>
      <c r="P64" s="826"/>
    </row>
    <row r="65" spans="1:17" s="814" customFormat="1" ht="13.5" customHeight="1" x14ac:dyDescent="0.2">
      <c r="A65" s="858" t="s">
        <v>361</v>
      </c>
      <c r="B65" s="859" t="s">
        <v>1440</v>
      </c>
      <c r="C65" s="858" t="s">
        <v>361</v>
      </c>
      <c r="D65" s="859" t="s">
        <v>1440</v>
      </c>
      <c r="E65" s="813"/>
      <c r="F65" s="855"/>
      <c r="G65" s="825"/>
      <c r="P65" s="826"/>
    </row>
    <row r="66" spans="1:17" ht="13.5" customHeight="1" x14ac:dyDescent="0.2">
      <c r="A66" s="860" t="s">
        <v>367</v>
      </c>
      <c r="B66" s="868" t="s">
        <v>1466</v>
      </c>
      <c r="C66" s="860" t="s">
        <v>367</v>
      </c>
      <c r="D66" s="868" t="s">
        <v>1472</v>
      </c>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1009" t="s">
        <v>376</v>
      </c>
      <c r="D68" s="1010"/>
      <c r="F68" s="855"/>
      <c r="G68" s="825"/>
      <c r="P68" s="826"/>
    </row>
    <row r="69" spans="1:17" s="923" customFormat="1" ht="13.5" customHeight="1" x14ac:dyDescent="0.2">
      <c r="A69" s="918" t="s">
        <v>1124</v>
      </c>
      <c r="B69" s="919" t="s">
        <v>1578</v>
      </c>
      <c r="C69" s="918" t="s">
        <v>1124</v>
      </c>
      <c r="D69" s="919" t="s">
        <v>1476</v>
      </c>
      <c r="E69" s="920"/>
      <c r="F69" s="921"/>
      <c r="G69" s="921"/>
      <c r="H69" s="921"/>
      <c r="I69" s="647"/>
      <c r="J69" s="647"/>
      <c r="K69" s="647"/>
      <c r="L69" s="647"/>
      <c r="M69" s="647"/>
      <c r="N69" s="647"/>
      <c r="O69" s="647"/>
      <c r="P69" s="922"/>
      <c r="Q69" s="647"/>
    </row>
    <row r="70" spans="1:17" s="923" customFormat="1" ht="13.5" customHeight="1" x14ac:dyDescent="0.2">
      <c r="A70" s="918" t="s">
        <v>1125</v>
      </c>
      <c r="B70" s="919" t="s">
        <v>1442</v>
      </c>
      <c r="C70" s="918" t="s">
        <v>1125</v>
      </c>
      <c r="D70" s="919" t="s">
        <v>1442</v>
      </c>
      <c r="E70" s="920"/>
      <c r="F70" s="921"/>
      <c r="G70" s="921"/>
      <c r="H70" s="921"/>
      <c r="I70" s="647"/>
      <c r="J70" s="647"/>
      <c r="K70" s="647"/>
      <c r="L70" s="647"/>
      <c r="M70" s="647"/>
      <c r="N70" s="647"/>
      <c r="O70" s="647"/>
      <c r="P70" s="922"/>
      <c r="Q70" s="647"/>
    </row>
    <row r="71" spans="1:17" s="877" customFormat="1" ht="13.5" customHeight="1" x14ac:dyDescent="0.2">
      <c r="A71" s="858" t="s">
        <v>365</v>
      </c>
      <c r="B71" s="859" t="s">
        <v>1473</v>
      </c>
      <c r="C71" s="858" t="s">
        <v>365</v>
      </c>
      <c r="D71" s="859" t="s">
        <v>1477</v>
      </c>
      <c r="E71" s="815"/>
      <c r="F71" s="873"/>
      <c r="G71" s="874"/>
      <c r="H71" s="875"/>
      <c r="I71" s="875"/>
      <c r="J71" s="875"/>
      <c r="K71" s="875"/>
      <c r="L71" s="875"/>
      <c r="M71" s="875"/>
      <c r="N71" s="875"/>
      <c r="O71" s="875"/>
      <c r="P71" s="826"/>
      <c r="Q71" s="814"/>
    </row>
    <row r="72" spans="1:17" ht="13.5" customHeight="1" x14ac:dyDescent="0.2">
      <c r="A72" s="858" t="s">
        <v>360</v>
      </c>
      <c r="B72" s="859" t="s">
        <v>1474</v>
      </c>
      <c r="C72" s="858" t="s">
        <v>360</v>
      </c>
      <c r="D72" s="859" t="s">
        <v>1474</v>
      </c>
      <c r="F72" s="855"/>
      <c r="G72" s="825"/>
      <c r="P72" s="826"/>
    </row>
    <row r="73" spans="1:17" ht="13.5" customHeight="1" x14ac:dyDescent="0.2">
      <c r="A73" s="858" t="s">
        <v>366</v>
      </c>
      <c r="B73" s="859" t="s">
        <v>1475</v>
      </c>
      <c r="C73" s="858" t="s">
        <v>366</v>
      </c>
      <c r="D73" s="859" t="s">
        <v>1478</v>
      </c>
      <c r="F73" s="855"/>
      <c r="G73" s="825"/>
      <c r="P73" s="826"/>
    </row>
    <row r="74" spans="1:17" ht="13.5" customHeight="1" x14ac:dyDescent="0.2">
      <c r="A74" s="858" t="s">
        <v>361</v>
      </c>
      <c r="B74" s="859">
        <v>153078049</v>
      </c>
      <c r="C74" s="858" t="s">
        <v>361</v>
      </c>
      <c r="D74" s="859" t="s">
        <v>1440</v>
      </c>
      <c r="F74" s="855"/>
      <c r="G74" s="825"/>
      <c r="P74" s="826"/>
    </row>
    <row r="75" spans="1:17" ht="13.5" customHeight="1" x14ac:dyDescent="0.2">
      <c r="A75" s="860" t="s">
        <v>367</v>
      </c>
      <c r="B75" s="868" t="s">
        <v>1433</v>
      </c>
      <c r="C75" s="860" t="s">
        <v>367</v>
      </c>
      <c r="D75" s="868" t="s">
        <v>1479</v>
      </c>
      <c r="F75" s="855"/>
      <c r="G75" s="825"/>
      <c r="P75" s="826"/>
    </row>
    <row r="76" spans="1:17" ht="13.5" customHeight="1" x14ac:dyDescent="0.2">
      <c r="A76" s="862"/>
      <c r="B76" s="869"/>
      <c r="C76" s="862"/>
      <c r="D76" s="869"/>
      <c r="F76" s="855"/>
      <c r="G76" s="825"/>
      <c r="P76" s="826"/>
    </row>
    <row r="77" spans="1:17" s="923" customFormat="1" ht="13.5" customHeight="1" x14ac:dyDescent="0.2">
      <c r="A77" s="993" t="s">
        <v>377</v>
      </c>
      <c r="B77" s="994"/>
      <c r="C77" s="993" t="s">
        <v>377</v>
      </c>
      <c r="D77" s="994"/>
      <c r="E77" s="920"/>
      <c r="F77" s="924"/>
      <c r="G77" s="925"/>
      <c r="H77" s="921"/>
      <c r="I77" s="647"/>
      <c r="J77" s="647"/>
      <c r="K77" s="647"/>
      <c r="L77" s="647"/>
      <c r="M77" s="647"/>
      <c r="N77" s="647"/>
      <c r="O77" s="647"/>
      <c r="P77" s="922"/>
      <c r="Q77" s="921"/>
    </row>
    <row r="78" spans="1:17" s="923" customFormat="1" ht="13.5" customHeight="1" x14ac:dyDescent="0.2">
      <c r="A78" s="918" t="s">
        <v>1124</v>
      </c>
      <c r="B78" s="919" t="s">
        <v>1480</v>
      </c>
      <c r="C78" s="918" t="s">
        <v>1124</v>
      </c>
      <c r="D78" s="919" t="s">
        <v>1485</v>
      </c>
      <c r="E78" s="920"/>
      <c r="F78" s="921"/>
      <c r="G78" s="921"/>
      <c r="H78" s="921"/>
      <c r="I78" s="647"/>
      <c r="J78" s="647"/>
      <c r="K78" s="647"/>
      <c r="L78" s="647"/>
      <c r="M78" s="647"/>
      <c r="N78" s="647"/>
      <c r="O78" s="647"/>
      <c r="P78" s="922"/>
      <c r="Q78" s="647"/>
    </row>
    <row r="79" spans="1:17" s="923" customFormat="1" ht="13.5" customHeight="1" x14ac:dyDescent="0.2">
      <c r="A79" s="918" t="s">
        <v>1125</v>
      </c>
      <c r="B79" s="919" t="s">
        <v>1453</v>
      </c>
      <c r="C79" s="918" t="s">
        <v>1125</v>
      </c>
      <c r="D79" s="919" t="s">
        <v>1468</v>
      </c>
      <c r="E79" s="920"/>
      <c r="F79" s="921"/>
      <c r="G79" s="921"/>
      <c r="H79" s="921"/>
      <c r="I79" s="647"/>
      <c r="J79" s="647"/>
      <c r="K79" s="647"/>
      <c r="L79" s="647"/>
      <c r="M79" s="647"/>
      <c r="N79" s="647"/>
      <c r="O79" s="647"/>
      <c r="P79" s="922"/>
      <c r="Q79" s="647"/>
    </row>
    <row r="80" spans="1:17" s="931" customFormat="1" ht="13.5" customHeight="1" x14ac:dyDescent="0.2">
      <c r="A80" s="918" t="s">
        <v>365</v>
      </c>
      <c r="B80" s="919" t="s">
        <v>1481</v>
      </c>
      <c r="C80" s="918" t="s">
        <v>365</v>
      </c>
      <c r="D80" s="919" t="s">
        <v>1486</v>
      </c>
      <c r="E80" s="926"/>
      <c r="F80" s="927"/>
      <c r="G80" s="928"/>
      <c r="H80" s="929"/>
      <c r="I80" s="930"/>
      <c r="J80" s="930"/>
      <c r="K80" s="930"/>
      <c r="L80" s="930"/>
      <c r="M80" s="930"/>
      <c r="N80" s="930"/>
      <c r="O80" s="930"/>
      <c r="P80" s="922"/>
      <c r="Q80" s="921"/>
    </row>
    <row r="81" spans="1:17" s="923" customFormat="1" ht="13.5" customHeight="1" x14ac:dyDescent="0.2">
      <c r="A81" s="918" t="s">
        <v>360</v>
      </c>
      <c r="B81" s="919" t="s">
        <v>1482</v>
      </c>
      <c r="C81" s="918" t="s">
        <v>360</v>
      </c>
      <c r="D81" s="919" t="s">
        <v>1487</v>
      </c>
      <c r="E81" s="920"/>
      <c r="F81" s="924"/>
      <c r="G81" s="925"/>
      <c r="H81" s="921"/>
      <c r="I81" s="647"/>
      <c r="J81" s="647"/>
      <c r="K81" s="647"/>
      <c r="L81" s="647"/>
      <c r="M81" s="647"/>
      <c r="N81" s="647"/>
      <c r="O81" s="647"/>
      <c r="P81" s="922"/>
      <c r="Q81" s="921"/>
    </row>
    <row r="82" spans="1:17" s="923" customFormat="1" ht="13.5" customHeight="1" x14ac:dyDescent="0.2">
      <c r="A82" s="918" t="s">
        <v>366</v>
      </c>
      <c r="B82" s="919" t="s">
        <v>1483</v>
      </c>
      <c r="C82" s="918" t="s">
        <v>366</v>
      </c>
      <c r="D82" s="919" t="s">
        <v>1488</v>
      </c>
      <c r="E82" s="920"/>
      <c r="F82" s="924"/>
      <c r="G82" s="925"/>
      <c r="H82" s="921"/>
      <c r="I82" s="647"/>
      <c r="J82" s="647"/>
      <c r="K82" s="647"/>
      <c r="L82" s="647"/>
      <c r="M82" s="647"/>
      <c r="N82" s="647"/>
      <c r="O82" s="647"/>
      <c r="P82" s="922"/>
      <c r="Q82" s="921"/>
    </row>
    <row r="83" spans="1:17" s="923" customFormat="1" ht="13.5" customHeight="1" x14ac:dyDescent="0.2">
      <c r="A83" s="918" t="s">
        <v>361</v>
      </c>
      <c r="B83" s="919" t="s">
        <v>1440</v>
      </c>
      <c r="C83" s="918" t="s">
        <v>361</v>
      </c>
      <c r="D83" s="919" t="s">
        <v>1489</v>
      </c>
      <c r="E83" s="920"/>
      <c r="F83" s="924"/>
      <c r="G83" s="925"/>
      <c r="H83" s="921"/>
      <c r="I83" s="647"/>
      <c r="J83" s="647"/>
      <c r="K83" s="647"/>
      <c r="L83" s="647"/>
      <c r="M83" s="647"/>
      <c r="N83" s="647"/>
      <c r="O83" s="647"/>
      <c r="P83" s="922"/>
      <c r="Q83" s="921"/>
    </row>
    <row r="84" spans="1:17" s="923" customFormat="1" ht="13.5" customHeight="1" x14ac:dyDescent="0.2">
      <c r="A84" s="918" t="s">
        <v>367</v>
      </c>
      <c r="B84" s="919" t="s">
        <v>1484</v>
      </c>
      <c r="C84" s="918" t="s">
        <v>367</v>
      </c>
      <c r="D84" s="919" t="s">
        <v>1490</v>
      </c>
      <c r="E84" s="920"/>
      <c r="F84" s="924"/>
      <c r="G84" s="925"/>
      <c r="H84" s="921"/>
      <c r="I84" s="647"/>
      <c r="J84" s="647"/>
      <c r="K84" s="647"/>
      <c r="L84" s="647"/>
      <c r="M84" s="647"/>
      <c r="N84" s="647"/>
      <c r="O84" s="647"/>
      <c r="P84" s="922"/>
      <c r="Q84" s="921"/>
    </row>
    <row r="85" spans="1:17" s="923" customFormat="1" ht="13.5" customHeight="1" x14ac:dyDescent="0.2">
      <c r="A85" s="993" t="s">
        <v>377</v>
      </c>
      <c r="B85" s="994"/>
      <c r="C85" s="993" t="s">
        <v>377</v>
      </c>
      <c r="D85" s="994"/>
      <c r="E85" s="920"/>
      <c r="F85" s="924"/>
      <c r="G85" s="925"/>
      <c r="H85" s="921"/>
      <c r="I85" s="647"/>
      <c r="J85" s="647"/>
      <c r="K85" s="647"/>
      <c r="L85" s="647"/>
      <c r="M85" s="647"/>
      <c r="N85" s="647"/>
      <c r="O85" s="647"/>
      <c r="P85" s="922"/>
      <c r="Q85" s="921"/>
    </row>
    <row r="86" spans="1:17" s="923" customFormat="1" ht="13.5" customHeight="1" x14ac:dyDescent="0.2">
      <c r="A86" s="918" t="s">
        <v>1124</v>
      </c>
      <c r="B86" s="919" t="s">
        <v>1491</v>
      </c>
      <c r="C86" s="918" t="s">
        <v>1124</v>
      </c>
      <c r="D86" s="919" t="s">
        <v>1495</v>
      </c>
      <c r="E86" s="920"/>
      <c r="F86" s="921"/>
      <c r="G86" s="921"/>
      <c r="H86" s="921"/>
      <c r="I86" s="647"/>
      <c r="J86" s="647"/>
      <c r="K86" s="647"/>
      <c r="L86" s="647"/>
      <c r="M86" s="647"/>
      <c r="N86" s="647"/>
      <c r="O86" s="647"/>
      <c r="P86" s="922"/>
      <c r="Q86" s="647"/>
    </row>
    <row r="87" spans="1:17" s="923" customFormat="1" ht="13.5" customHeight="1" x14ac:dyDescent="0.2">
      <c r="A87" s="918" t="s">
        <v>1125</v>
      </c>
      <c r="B87" s="919" t="s">
        <v>1453</v>
      </c>
      <c r="C87" s="918" t="s">
        <v>1125</v>
      </c>
      <c r="D87" s="919" t="s">
        <v>1468</v>
      </c>
      <c r="E87" s="920"/>
      <c r="F87" s="921"/>
      <c r="G87" s="921"/>
      <c r="H87" s="921"/>
      <c r="I87" s="647"/>
      <c r="J87" s="647"/>
      <c r="K87" s="647"/>
      <c r="L87" s="647"/>
      <c r="M87" s="647"/>
      <c r="N87" s="647"/>
      <c r="O87" s="647"/>
      <c r="P87" s="922"/>
      <c r="Q87" s="647"/>
    </row>
    <row r="88" spans="1:17" s="923" customFormat="1" ht="13.5" customHeight="1" x14ac:dyDescent="0.2">
      <c r="A88" s="918" t="s">
        <v>365</v>
      </c>
      <c r="B88" s="919" t="s">
        <v>1492</v>
      </c>
      <c r="C88" s="918" t="s">
        <v>365</v>
      </c>
      <c r="D88" s="919" t="s">
        <v>1496</v>
      </c>
      <c r="E88" s="920"/>
      <c r="F88" s="924"/>
      <c r="G88" s="925"/>
      <c r="H88" s="921"/>
      <c r="I88" s="647"/>
      <c r="J88" s="647"/>
      <c r="K88" s="647"/>
      <c r="L88" s="647"/>
      <c r="M88" s="647"/>
      <c r="N88" s="647"/>
      <c r="O88" s="647"/>
      <c r="P88" s="922"/>
      <c r="Q88" s="921"/>
    </row>
    <row r="89" spans="1:17" s="923" customFormat="1" ht="13.5" customHeight="1" x14ac:dyDescent="0.2">
      <c r="A89" s="918" t="s">
        <v>360</v>
      </c>
      <c r="B89" s="919" t="s">
        <v>1493</v>
      </c>
      <c r="C89" s="918" t="s">
        <v>360</v>
      </c>
      <c r="D89" s="919" t="s">
        <v>1497</v>
      </c>
      <c r="E89" s="920"/>
      <c r="F89" s="924"/>
      <c r="G89" s="925"/>
      <c r="H89" s="921"/>
      <c r="I89" s="647"/>
      <c r="J89" s="647"/>
      <c r="K89" s="647"/>
      <c r="L89" s="647"/>
      <c r="M89" s="647"/>
      <c r="N89" s="647"/>
      <c r="O89" s="647"/>
      <c r="P89" s="922"/>
      <c r="Q89" s="921"/>
    </row>
    <row r="90" spans="1:17" s="921" customFormat="1" ht="13.5" customHeight="1" x14ac:dyDescent="0.2">
      <c r="A90" s="918" t="s">
        <v>366</v>
      </c>
      <c r="B90" s="919"/>
      <c r="C90" s="918" t="s">
        <v>366</v>
      </c>
      <c r="D90" s="919" t="s">
        <v>1498</v>
      </c>
      <c r="E90" s="920"/>
      <c r="F90" s="924"/>
      <c r="G90" s="925"/>
      <c r="I90" s="647"/>
      <c r="J90" s="647"/>
      <c r="K90" s="647"/>
      <c r="L90" s="647"/>
      <c r="M90" s="647"/>
      <c r="N90" s="647"/>
      <c r="O90" s="647"/>
      <c r="P90" s="922"/>
    </row>
    <row r="91" spans="1:17" s="921" customFormat="1" ht="13.5" customHeight="1" x14ac:dyDescent="0.2">
      <c r="A91" s="918" t="s">
        <v>361</v>
      </c>
      <c r="B91" s="919" t="s">
        <v>1440</v>
      </c>
      <c r="C91" s="918" t="s">
        <v>361</v>
      </c>
      <c r="D91" s="919" t="s">
        <v>1489</v>
      </c>
      <c r="E91" s="920"/>
      <c r="F91" s="924"/>
      <c r="G91" s="925"/>
      <c r="I91" s="647"/>
      <c r="J91" s="647"/>
      <c r="K91" s="647"/>
      <c r="L91" s="647"/>
      <c r="M91" s="647"/>
      <c r="N91" s="647"/>
      <c r="O91" s="647"/>
      <c r="P91" s="922"/>
    </row>
    <row r="92" spans="1:17" s="921" customFormat="1" ht="13.5" customHeight="1" x14ac:dyDescent="0.2">
      <c r="A92" s="918" t="s">
        <v>367</v>
      </c>
      <c r="B92" s="919" t="s">
        <v>1494</v>
      </c>
      <c r="C92" s="918" t="s">
        <v>367</v>
      </c>
      <c r="D92" s="919" t="s">
        <v>1499</v>
      </c>
      <c r="E92" s="920"/>
      <c r="F92" s="924"/>
      <c r="G92" s="925"/>
      <c r="I92" s="647"/>
      <c r="J92" s="647"/>
      <c r="K92" s="647"/>
      <c r="L92" s="647"/>
      <c r="M92" s="647"/>
      <c r="N92" s="647"/>
      <c r="O92" s="647"/>
      <c r="P92" s="922"/>
    </row>
    <row r="93" spans="1:17" s="921" customFormat="1" ht="13.5" customHeight="1" x14ac:dyDescent="0.2">
      <c r="A93" s="993" t="s">
        <v>377</v>
      </c>
      <c r="B93" s="994"/>
      <c r="C93" s="993" t="s">
        <v>377</v>
      </c>
      <c r="D93" s="994"/>
      <c r="E93" s="920"/>
      <c r="F93" s="924"/>
      <c r="G93" s="925"/>
      <c r="I93" s="647"/>
      <c r="J93" s="647"/>
      <c r="K93" s="647"/>
      <c r="L93" s="647"/>
      <c r="M93" s="647"/>
      <c r="N93" s="647"/>
      <c r="O93" s="647"/>
      <c r="P93" s="922"/>
    </row>
    <row r="94" spans="1:17" s="923" customFormat="1" ht="13.5" customHeight="1" x14ac:dyDescent="0.2">
      <c r="A94" s="918" t="s">
        <v>1124</v>
      </c>
      <c r="B94" s="919" t="s">
        <v>1500</v>
      </c>
      <c r="C94" s="918" t="s">
        <v>1124</v>
      </c>
      <c r="D94" s="919" t="s">
        <v>1505</v>
      </c>
      <c r="E94" s="920"/>
      <c r="F94" s="921"/>
      <c r="G94" s="921"/>
      <c r="H94" s="921"/>
      <c r="I94" s="647"/>
      <c r="J94" s="647"/>
      <c r="K94" s="647"/>
      <c r="L94" s="647"/>
      <c r="M94" s="647"/>
      <c r="N94" s="647"/>
      <c r="O94" s="647"/>
      <c r="P94" s="922"/>
      <c r="Q94" s="647"/>
    </row>
    <row r="95" spans="1:17" s="923" customFormat="1" ht="13.5" customHeight="1" x14ac:dyDescent="0.2">
      <c r="A95" s="918" t="s">
        <v>1125</v>
      </c>
      <c r="B95" s="919" t="s">
        <v>1442</v>
      </c>
      <c r="C95" s="918" t="s">
        <v>1125</v>
      </c>
      <c r="D95" s="919" t="s">
        <v>1442</v>
      </c>
      <c r="E95" s="920"/>
      <c r="F95" s="921"/>
      <c r="G95" s="921"/>
      <c r="H95" s="921"/>
      <c r="I95" s="647"/>
      <c r="J95" s="647"/>
      <c r="K95" s="647"/>
      <c r="L95" s="647"/>
      <c r="M95" s="647"/>
      <c r="N95" s="647"/>
      <c r="O95" s="647"/>
      <c r="P95" s="922"/>
      <c r="Q95" s="647"/>
    </row>
    <row r="96" spans="1:17" s="921" customFormat="1" ht="13.5" customHeight="1" x14ac:dyDescent="0.2">
      <c r="A96" s="918" t="s">
        <v>365</v>
      </c>
      <c r="B96" s="919" t="s">
        <v>1501</v>
      </c>
      <c r="C96" s="918" t="s">
        <v>365</v>
      </c>
      <c r="D96" s="919" t="s">
        <v>1506</v>
      </c>
      <c r="E96" s="920"/>
      <c r="F96" s="924"/>
      <c r="G96" s="925"/>
      <c r="I96" s="647"/>
      <c r="J96" s="647"/>
      <c r="K96" s="647"/>
      <c r="L96" s="647"/>
      <c r="M96" s="647"/>
      <c r="N96" s="647"/>
      <c r="O96" s="647"/>
      <c r="P96" s="922"/>
    </row>
    <row r="97" spans="1:17" s="921" customFormat="1" ht="13.5" customHeight="1" x14ac:dyDescent="0.2">
      <c r="A97" s="918" t="s">
        <v>360</v>
      </c>
      <c r="B97" s="919" t="s">
        <v>1502</v>
      </c>
      <c r="C97" s="918" t="s">
        <v>360</v>
      </c>
      <c r="D97" s="919" t="s">
        <v>1507</v>
      </c>
      <c r="E97" s="920"/>
      <c r="F97" s="924"/>
      <c r="G97" s="925"/>
      <c r="I97" s="647"/>
      <c r="J97" s="647"/>
      <c r="K97" s="647"/>
      <c r="L97" s="647"/>
      <c r="M97" s="647"/>
      <c r="N97" s="647"/>
      <c r="O97" s="647"/>
      <c r="P97" s="922"/>
    </row>
    <row r="98" spans="1:17" s="921" customFormat="1" ht="13.5" customHeight="1" x14ac:dyDescent="0.2">
      <c r="A98" s="918" t="s">
        <v>366</v>
      </c>
      <c r="B98" s="919" t="s">
        <v>1503</v>
      </c>
      <c r="C98" s="918" t="s">
        <v>366</v>
      </c>
      <c r="D98" s="919" t="s">
        <v>1508</v>
      </c>
      <c r="E98" s="920"/>
      <c r="F98" s="924"/>
      <c r="G98" s="925"/>
      <c r="I98" s="647"/>
      <c r="J98" s="647"/>
      <c r="K98" s="647"/>
      <c r="L98" s="647"/>
      <c r="M98" s="647"/>
      <c r="N98" s="647"/>
      <c r="O98" s="647"/>
      <c r="P98" s="922"/>
    </row>
    <row r="99" spans="1:17" s="921" customFormat="1" ht="13.5" customHeight="1" x14ac:dyDescent="0.2">
      <c r="A99" s="918" t="s">
        <v>361</v>
      </c>
      <c r="B99" s="919" t="s">
        <v>1440</v>
      </c>
      <c r="C99" s="918" t="s">
        <v>361</v>
      </c>
      <c r="D99" s="919" t="s">
        <v>1509</v>
      </c>
      <c r="E99" s="920"/>
      <c r="F99" s="924"/>
      <c r="G99" s="925"/>
      <c r="I99" s="647"/>
      <c r="J99" s="647"/>
      <c r="K99" s="647"/>
      <c r="L99" s="647"/>
      <c r="M99" s="647"/>
      <c r="N99" s="647"/>
      <c r="O99" s="647"/>
      <c r="P99" s="922"/>
    </row>
    <row r="100" spans="1:17" s="921" customFormat="1" ht="13.5" customHeight="1" x14ac:dyDescent="0.2">
      <c r="A100" s="918" t="s">
        <v>367</v>
      </c>
      <c r="B100" s="919" t="s">
        <v>1504</v>
      </c>
      <c r="C100" s="918" t="s">
        <v>367</v>
      </c>
      <c r="D100" s="919" t="s">
        <v>1510</v>
      </c>
      <c r="E100" s="920"/>
      <c r="F100" s="924"/>
      <c r="G100" s="925"/>
      <c r="I100" s="647"/>
      <c r="J100" s="647"/>
      <c r="K100" s="647"/>
      <c r="L100" s="647"/>
      <c r="M100" s="647"/>
      <c r="N100" s="647"/>
      <c r="O100" s="647"/>
      <c r="P100" s="922"/>
    </row>
    <row r="101" spans="1:17" s="921" customFormat="1" ht="12.75" customHeight="1" x14ac:dyDescent="0.2">
      <c r="A101" s="993" t="s">
        <v>377</v>
      </c>
      <c r="B101" s="994"/>
      <c r="C101" s="993" t="s">
        <v>377</v>
      </c>
      <c r="D101" s="994"/>
      <c r="E101" s="920"/>
      <c r="F101" s="924"/>
      <c r="G101" s="925"/>
      <c r="I101" s="647"/>
      <c r="J101" s="647"/>
      <c r="K101" s="647"/>
      <c r="L101" s="647"/>
      <c r="M101" s="647"/>
      <c r="N101" s="647"/>
      <c r="O101" s="647"/>
      <c r="P101" s="922"/>
    </row>
    <row r="102" spans="1:17" s="923" customFormat="1" ht="13.5" customHeight="1" x14ac:dyDescent="0.2">
      <c r="A102" s="918" t="s">
        <v>1124</v>
      </c>
      <c r="B102" s="919" t="s">
        <v>1511</v>
      </c>
      <c r="C102" s="918" t="s">
        <v>1124</v>
      </c>
      <c r="D102" s="919"/>
      <c r="E102" s="920"/>
      <c r="F102" s="921"/>
      <c r="G102" s="921"/>
      <c r="H102" s="921"/>
      <c r="I102" s="647"/>
      <c r="J102" s="647"/>
      <c r="K102" s="647"/>
      <c r="L102" s="647"/>
      <c r="M102" s="647"/>
      <c r="N102" s="647"/>
      <c r="O102" s="647"/>
      <c r="P102" s="922"/>
      <c r="Q102" s="647"/>
    </row>
    <row r="103" spans="1:17" s="921" customFormat="1" ht="12.75" customHeight="1" x14ac:dyDescent="0.2">
      <c r="A103" s="918" t="s">
        <v>1125</v>
      </c>
      <c r="B103" s="919" t="s">
        <v>1453</v>
      </c>
      <c r="C103" s="918" t="s">
        <v>1125</v>
      </c>
      <c r="D103" s="919"/>
      <c r="E103" s="920"/>
      <c r="F103" s="924"/>
      <c r="G103" s="925"/>
      <c r="I103" s="647"/>
      <c r="J103" s="647"/>
      <c r="K103" s="647"/>
      <c r="L103" s="647"/>
      <c r="M103" s="647"/>
      <c r="N103" s="647"/>
      <c r="O103" s="647"/>
      <c r="P103" s="922"/>
    </row>
    <row r="104" spans="1:17" s="921" customFormat="1" ht="12.75" customHeight="1" x14ac:dyDescent="0.2">
      <c r="A104" s="918" t="s">
        <v>365</v>
      </c>
      <c r="B104" s="919" t="s">
        <v>1512</v>
      </c>
      <c r="C104" s="918" t="s">
        <v>365</v>
      </c>
      <c r="D104" s="919"/>
      <c r="E104" s="920"/>
      <c r="F104" s="924"/>
      <c r="G104" s="925"/>
      <c r="I104" s="647"/>
      <c r="J104" s="647"/>
      <c r="K104" s="647"/>
      <c r="L104" s="647"/>
      <c r="M104" s="647"/>
      <c r="N104" s="647"/>
      <c r="O104" s="647"/>
      <c r="P104" s="922"/>
    </row>
    <row r="105" spans="1:17" s="921" customFormat="1" ht="12.75" customHeight="1" x14ac:dyDescent="0.2">
      <c r="A105" s="918" t="s">
        <v>360</v>
      </c>
      <c r="B105" s="919" t="s">
        <v>1474</v>
      </c>
      <c r="C105" s="918" t="s">
        <v>360</v>
      </c>
      <c r="D105" s="919"/>
      <c r="E105" s="920"/>
      <c r="F105" s="924"/>
      <c r="G105" s="925"/>
      <c r="I105" s="647"/>
      <c r="J105" s="647"/>
      <c r="K105" s="647"/>
      <c r="L105" s="647"/>
      <c r="M105" s="647"/>
      <c r="N105" s="647"/>
      <c r="O105" s="647"/>
      <c r="P105" s="922"/>
    </row>
    <row r="106" spans="1:17" s="933" customFormat="1" ht="12.75" customHeight="1" x14ac:dyDescent="0.2">
      <c r="A106" s="918" t="s">
        <v>366</v>
      </c>
      <c r="B106" s="919" t="s">
        <v>1513</v>
      </c>
      <c r="C106" s="918" t="s">
        <v>366</v>
      </c>
      <c r="D106" s="919"/>
      <c r="E106" s="932"/>
      <c r="F106" s="924"/>
      <c r="G106" s="925"/>
      <c r="I106" s="647"/>
      <c r="J106" s="647"/>
      <c r="K106" s="647"/>
      <c r="L106" s="647"/>
      <c r="M106" s="647"/>
      <c r="N106" s="647"/>
      <c r="O106" s="647"/>
      <c r="P106" s="922"/>
      <c r="Q106" s="921"/>
    </row>
    <row r="107" spans="1:17" s="647" customFormat="1" ht="12.75" customHeight="1" x14ac:dyDescent="0.2">
      <c r="A107" s="918" t="s">
        <v>361</v>
      </c>
      <c r="B107" s="919" t="s">
        <v>1440</v>
      </c>
      <c r="C107" s="918" t="s">
        <v>361</v>
      </c>
      <c r="D107" s="919"/>
      <c r="E107" s="934"/>
      <c r="F107" s="924"/>
      <c r="G107" s="925"/>
      <c r="P107" s="922"/>
      <c r="Q107" s="921"/>
    </row>
    <row r="108" spans="1:17" s="647" customFormat="1" ht="12.75" customHeight="1" x14ac:dyDescent="0.2">
      <c r="A108" s="918" t="s">
        <v>367</v>
      </c>
      <c r="B108" s="919" t="s">
        <v>1514</v>
      </c>
      <c r="C108" s="918" t="s">
        <v>367</v>
      </c>
      <c r="D108" s="919"/>
      <c r="E108" s="934"/>
      <c r="F108" s="924"/>
      <c r="G108" s="925"/>
      <c r="P108" s="922"/>
      <c r="Q108" s="921"/>
    </row>
    <row r="109" spans="1:17" s="921" customFormat="1" ht="12.75" customHeight="1" x14ac:dyDescent="0.2">
      <c r="A109" s="993" t="s">
        <v>377</v>
      </c>
      <c r="B109" s="994"/>
      <c r="C109" s="993" t="s">
        <v>377</v>
      </c>
      <c r="D109" s="994"/>
      <c r="E109" s="920"/>
      <c r="I109" s="647"/>
      <c r="J109" s="647"/>
      <c r="K109" s="647"/>
      <c r="L109" s="647"/>
      <c r="M109" s="647"/>
      <c r="N109" s="647"/>
      <c r="O109" s="647"/>
      <c r="P109" s="922"/>
    </row>
    <row r="110" spans="1:17" s="923" customFormat="1" ht="13.5" customHeight="1" x14ac:dyDescent="0.2">
      <c r="A110" s="918" t="s">
        <v>1124</v>
      </c>
      <c r="B110" s="919"/>
      <c r="C110" s="918" t="s">
        <v>1124</v>
      </c>
      <c r="D110" s="919"/>
      <c r="E110" s="920"/>
      <c r="F110" s="921"/>
      <c r="G110" s="921"/>
      <c r="H110" s="921"/>
      <c r="I110" s="647"/>
      <c r="J110" s="647"/>
      <c r="K110" s="647"/>
      <c r="L110" s="647"/>
      <c r="M110" s="647"/>
      <c r="N110" s="647"/>
      <c r="O110" s="647"/>
      <c r="P110" s="922"/>
      <c r="Q110" s="647"/>
    </row>
    <row r="111" spans="1:17" s="921" customFormat="1" ht="12.75" customHeight="1" x14ac:dyDescent="0.2">
      <c r="A111" s="918" t="s">
        <v>1125</v>
      </c>
      <c r="B111" s="919"/>
      <c r="C111" s="918" t="s">
        <v>1125</v>
      </c>
      <c r="D111" s="919"/>
      <c r="E111" s="920"/>
      <c r="I111" s="647"/>
      <c r="J111" s="647"/>
      <c r="K111" s="647"/>
      <c r="L111" s="647"/>
      <c r="M111" s="647"/>
      <c r="N111" s="647"/>
      <c r="O111" s="647"/>
      <c r="P111" s="922"/>
    </row>
    <row r="112" spans="1:17" s="921" customFormat="1" ht="12.75" customHeight="1" x14ac:dyDescent="0.2">
      <c r="A112" s="918" t="s">
        <v>365</v>
      </c>
      <c r="B112" s="919"/>
      <c r="C112" s="918" t="s">
        <v>365</v>
      </c>
      <c r="D112" s="919"/>
      <c r="E112" s="920"/>
      <c r="I112" s="647"/>
      <c r="J112" s="647"/>
      <c r="K112" s="647"/>
      <c r="L112" s="647"/>
      <c r="M112" s="647"/>
      <c r="N112" s="647"/>
      <c r="O112" s="647"/>
      <c r="P112" s="922"/>
    </row>
    <row r="113" spans="1:25" s="921" customFormat="1" ht="12.75" customHeight="1" x14ac:dyDescent="0.2">
      <c r="A113" s="918" t="s">
        <v>360</v>
      </c>
      <c r="B113" s="919"/>
      <c r="C113" s="918" t="s">
        <v>360</v>
      </c>
      <c r="D113" s="919"/>
      <c r="E113" s="920"/>
      <c r="I113" s="647"/>
      <c r="J113" s="647"/>
      <c r="K113" s="647"/>
      <c r="L113" s="647"/>
      <c r="M113" s="647"/>
      <c r="N113" s="647"/>
      <c r="O113" s="647"/>
      <c r="P113" s="922"/>
    </row>
    <row r="114" spans="1:25" s="923" customFormat="1" ht="12.75" customHeight="1" x14ac:dyDescent="0.2">
      <c r="A114" s="918" t="s">
        <v>366</v>
      </c>
      <c r="B114" s="919"/>
      <c r="C114" s="918" t="s">
        <v>366</v>
      </c>
      <c r="D114" s="919"/>
      <c r="E114" s="935"/>
      <c r="F114" s="921"/>
      <c r="G114" s="921"/>
      <c r="H114" s="921"/>
      <c r="I114" s="647"/>
      <c r="J114" s="647"/>
      <c r="K114" s="647"/>
      <c r="L114" s="647"/>
      <c r="M114" s="647"/>
      <c r="N114" s="647"/>
      <c r="O114" s="647"/>
      <c r="P114" s="922"/>
      <c r="Q114" s="921"/>
      <c r="R114" s="936"/>
      <c r="S114" s="936"/>
      <c r="T114" s="936"/>
      <c r="U114" s="936"/>
      <c r="V114" s="936"/>
      <c r="W114" s="936"/>
      <c r="X114" s="936"/>
      <c r="Y114" s="936"/>
    </row>
    <row r="115" spans="1:25" s="923" customFormat="1" ht="12.75" customHeight="1" x14ac:dyDescent="0.2">
      <c r="A115" s="918" t="s">
        <v>361</v>
      </c>
      <c r="B115" s="919"/>
      <c r="C115" s="918" t="s">
        <v>361</v>
      </c>
      <c r="D115" s="919"/>
      <c r="E115" s="935"/>
      <c r="F115" s="921"/>
      <c r="G115" s="921"/>
      <c r="H115" s="921"/>
      <c r="I115" s="647"/>
      <c r="J115" s="647"/>
      <c r="K115" s="647"/>
      <c r="L115" s="647"/>
      <c r="M115" s="647"/>
      <c r="N115" s="647"/>
      <c r="O115" s="647"/>
      <c r="P115" s="922"/>
      <c r="Q115" s="921"/>
      <c r="R115" s="936"/>
      <c r="S115" s="936"/>
      <c r="T115" s="936"/>
      <c r="U115" s="936"/>
      <c r="V115" s="936"/>
      <c r="W115" s="936"/>
      <c r="X115" s="936"/>
      <c r="Y115" s="936"/>
    </row>
    <row r="116" spans="1:25" s="923" customFormat="1" ht="12.75" customHeight="1" x14ac:dyDescent="0.2">
      <c r="A116" s="918" t="s">
        <v>367</v>
      </c>
      <c r="B116" s="919"/>
      <c r="C116" s="918" t="s">
        <v>367</v>
      </c>
      <c r="D116" s="919"/>
      <c r="E116" s="935"/>
      <c r="F116" s="921"/>
      <c r="G116" s="921"/>
      <c r="H116" s="921"/>
      <c r="I116" s="647"/>
      <c r="J116" s="647"/>
      <c r="K116" s="647"/>
      <c r="L116" s="647"/>
      <c r="M116" s="647"/>
      <c r="N116" s="647"/>
      <c r="O116" s="647"/>
      <c r="P116" s="922"/>
      <c r="Q116" s="921"/>
      <c r="R116" s="936"/>
      <c r="S116" s="936"/>
      <c r="T116" s="936"/>
      <c r="U116" s="936"/>
      <c r="V116" s="936"/>
      <c r="W116" s="936"/>
      <c r="X116" s="936"/>
      <c r="Y116" s="936"/>
    </row>
    <row r="117" spans="1:25" s="923" customFormat="1" ht="12.75" customHeight="1" x14ac:dyDescent="0.2">
      <c r="A117" s="993" t="s">
        <v>377</v>
      </c>
      <c r="B117" s="994"/>
      <c r="C117" s="993" t="s">
        <v>377</v>
      </c>
      <c r="D117" s="994"/>
      <c r="E117" s="935"/>
      <c r="F117" s="921"/>
      <c r="G117" s="921"/>
      <c r="H117" s="921"/>
      <c r="I117" s="647"/>
      <c r="J117" s="647"/>
      <c r="K117" s="647"/>
      <c r="L117" s="647"/>
      <c r="M117" s="647"/>
      <c r="N117" s="647"/>
      <c r="O117" s="647"/>
      <c r="P117" s="922"/>
      <c r="Q117" s="921"/>
      <c r="R117" s="936"/>
      <c r="S117" s="936"/>
      <c r="T117" s="936"/>
      <c r="U117" s="936"/>
      <c r="V117" s="936"/>
      <c r="W117" s="936"/>
      <c r="X117" s="936"/>
      <c r="Y117" s="936"/>
    </row>
    <row r="118" spans="1:25" s="923" customFormat="1" ht="13.5" customHeight="1" x14ac:dyDescent="0.2">
      <c r="A118" s="918" t="s">
        <v>1124</v>
      </c>
      <c r="B118" s="919"/>
      <c r="C118" s="918" t="s">
        <v>1124</v>
      </c>
      <c r="D118" s="919"/>
      <c r="E118" s="920"/>
      <c r="F118" s="921"/>
      <c r="G118" s="921"/>
      <c r="H118" s="921"/>
      <c r="I118" s="647"/>
      <c r="J118" s="647"/>
      <c r="K118" s="647"/>
      <c r="L118" s="647"/>
      <c r="M118" s="647"/>
      <c r="N118" s="647"/>
      <c r="O118" s="647"/>
      <c r="P118" s="922"/>
      <c r="Q118" s="647"/>
    </row>
    <row r="119" spans="1:25" s="923" customFormat="1" ht="12.75" customHeight="1" x14ac:dyDescent="0.2">
      <c r="A119" s="918" t="s">
        <v>1125</v>
      </c>
      <c r="B119" s="919"/>
      <c r="C119" s="918" t="s">
        <v>1125</v>
      </c>
      <c r="D119" s="919"/>
      <c r="E119" s="935"/>
      <c r="F119" s="921"/>
      <c r="G119" s="921"/>
      <c r="H119" s="921"/>
      <c r="I119" s="647"/>
      <c r="J119" s="647"/>
      <c r="K119" s="647"/>
      <c r="L119" s="647"/>
      <c r="M119" s="647"/>
      <c r="N119" s="647"/>
      <c r="O119" s="647"/>
      <c r="P119" s="922"/>
      <c r="Q119" s="921"/>
      <c r="R119" s="936"/>
      <c r="S119" s="936"/>
      <c r="T119" s="936"/>
      <c r="U119" s="936"/>
      <c r="V119" s="936"/>
      <c r="W119" s="936"/>
      <c r="X119" s="936"/>
      <c r="Y119" s="936"/>
    </row>
    <row r="120" spans="1:25" s="923" customFormat="1" ht="12.75" customHeight="1" x14ac:dyDescent="0.2">
      <c r="A120" s="918" t="s">
        <v>365</v>
      </c>
      <c r="B120" s="919"/>
      <c r="C120" s="918" t="s">
        <v>365</v>
      </c>
      <c r="D120" s="919"/>
      <c r="E120" s="935"/>
      <c r="F120" s="921"/>
      <c r="G120" s="921"/>
      <c r="H120" s="921"/>
      <c r="I120" s="647"/>
      <c r="J120" s="647"/>
      <c r="K120" s="647"/>
      <c r="L120" s="647"/>
      <c r="M120" s="647"/>
      <c r="N120" s="647"/>
      <c r="O120" s="647"/>
      <c r="P120" s="922"/>
      <c r="Q120" s="921"/>
      <c r="R120" s="936"/>
      <c r="S120" s="936"/>
      <c r="T120" s="936"/>
      <c r="U120" s="936"/>
      <c r="V120" s="936"/>
      <c r="W120" s="936"/>
      <c r="X120" s="936"/>
      <c r="Y120" s="936"/>
    </row>
    <row r="121" spans="1:25" s="923" customFormat="1" ht="12.75" customHeight="1" x14ac:dyDescent="0.2">
      <c r="A121" s="918" t="s">
        <v>360</v>
      </c>
      <c r="B121" s="919"/>
      <c r="C121" s="918" t="s">
        <v>360</v>
      </c>
      <c r="D121" s="919"/>
      <c r="E121" s="935"/>
      <c r="F121" s="921"/>
      <c r="G121" s="921"/>
      <c r="H121" s="921"/>
      <c r="I121" s="647"/>
      <c r="J121" s="647"/>
      <c r="K121" s="647"/>
      <c r="L121" s="647"/>
      <c r="M121" s="647"/>
      <c r="N121" s="647"/>
      <c r="O121" s="647"/>
      <c r="P121" s="922"/>
      <c r="Q121" s="921"/>
      <c r="R121" s="936"/>
      <c r="S121" s="936"/>
      <c r="T121" s="936"/>
      <c r="U121" s="936"/>
      <c r="V121" s="936"/>
      <c r="W121" s="936"/>
      <c r="X121" s="936"/>
      <c r="Y121" s="936"/>
    </row>
    <row r="122" spans="1:25" s="923" customFormat="1" ht="12.75" customHeight="1" x14ac:dyDescent="0.2">
      <c r="A122" s="918" t="s">
        <v>366</v>
      </c>
      <c r="B122" s="919"/>
      <c r="C122" s="918" t="s">
        <v>366</v>
      </c>
      <c r="D122" s="919"/>
      <c r="E122" s="935"/>
      <c r="F122" s="921"/>
      <c r="G122" s="921"/>
      <c r="H122" s="921"/>
      <c r="I122" s="647"/>
      <c r="J122" s="647"/>
      <c r="K122" s="647"/>
      <c r="L122" s="647"/>
      <c r="M122" s="647"/>
      <c r="N122" s="647"/>
      <c r="O122" s="647"/>
      <c r="P122" s="922"/>
      <c r="Q122" s="921"/>
      <c r="R122" s="936"/>
      <c r="S122" s="936"/>
      <c r="T122" s="936"/>
      <c r="U122" s="936"/>
      <c r="V122" s="936"/>
      <c r="W122" s="936"/>
      <c r="X122" s="936"/>
      <c r="Y122" s="936"/>
    </row>
    <row r="123" spans="1:25" s="923" customFormat="1" ht="12.75" customHeight="1" x14ac:dyDescent="0.2">
      <c r="A123" s="918" t="s">
        <v>361</v>
      </c>
      <c r="B123" s="919"/>
      <c r="C123" s="918" t="s">
        <v>361</v>
      </c>
      <c r="D123" s="919"/>
      <c r="E123" s="935"/>
      <c r="F123" s="921"/>
      <c r="G123" s="921"/>
      <c r="H123" s="921"/>
      <c r="I123" s="647"/>
      <c r="J123" s="647"/>
      <c r="K123" s="647"/>
      <c r="L123" s="647"/>
      <c r="M123" s="647"/>
      <c r="N123" s="647"/>
      <c r="O123" s="647"/>
      <c r="P123" s="922"/>
      <c r="Q123" s="921"/>
      <c r="R123" s="936"/>
      <c r="S123" s="936"/>
      <c r="T123" s="936"/>
      <c r="U123" s="936"/>
      <c r="V123" s="936"/>
      <c r="W123" s="936"/>
      <c r="X123" s="936"/>
      <c r="Y123" s="936"/>
    </row>
    <row r="124" spans="1:25" s="923" customFormat="1" ht="12.75" customHeight="1" x14ac:dyDescent="0.2">
      <c r="A124" s="918" t="s">
        <v>367</v>
      </c>
      <c r="B124" s="919"/>
      <c r="C124" s="918" t="s">
        <v>367</v>
      </c>
      <c r="D124" s="919"/>
      <c r="E124" s="935"/>
      <c r="F124" s="921"/>
      <c r="G124" s="921"/>
      <c r="H124" s="921"/>
      <c r="I124" s="647"/>
      <c r="J124" s="647"/>
      <c r="K124" s="647"/>
      <c r="L124" s="647"/>
      <c r="M124" s="647"/>
      <c r="N124" s="647"/>
      <c r="O124" s="647"/>
      <c r="P124" s="922"/>
      <c r="Q124" s="921"/>
      <c r="R124" s="936"/>
      <c r="S124" s="936"/>
      <c r="T124" s="936"/>
      <c r="U124" s="936"/>
      <c r="V124" s="936"/>
      <c r="W124" s="936"/>
      <c r="X124" s="936"/>
      <c r="Y124" s="936"/>
    </row>
    <row r="125" spans="1:25" s="923" customFormat="1" ht="12.75" customHeight="1" x14ac:dyDescent="0.2">
      <c r="A125" s="993" t="s">
        <v>377</v>
      </c>
      <c r="B125" s="994"/>
      <c r="C125" s="993" t="s">
        <v>377</v>
      </c>
      <c r="D125" s="994"/>
      <c r="E125" s="935"/>
      <c r="F125" s="921"/>
      <c r="G125" s="921"/>
      <c r="H125" s="921"/>
      <c r="I125" s="647"/>
      <c r="J125" s="647"/>
      <c r="K125" s="647"/>
      <c r="L125" s="647"/>
      <c r="M125" s="647"/>
      <c r="N125" s="647"/>
      <c r="O125" s="647"/>
      <c r="P125" s="922"/>
      <c r="Q125" s="921"/>
      <c r="R125" s="936"/>
      <c r="S125" s="936"/>
      <c r="T125" s="936"/>
      <c r="U125" s="936"/>
      <c r="V125" s="936"/>
      <c r="W125" s="936"/>
      <c r="X125" s="936"/>
      <c r="Y125" s="936"/>
    </row>
    <row r="126" spans="1:25" s="923" customFormat="1" ht="13.5" customHeight="1" x14ac:dyDescent="0.2">
      <c r="A126" s="918" t="s">
        <v>1124</v>
      </c>
      <c r="B126" s="919"/>
      <c r="C126" s="918" t="s">
        <v>1124</v>
      </c>
      <c r="D126" s="919"/>
      <c r="E126" s="920"/>
      <c r="F126" s="921"/>
      <c r="G126" s="921"/>
      <c r="H126" s="921"/>
      <c r="I126" s="647"/>
      <c r="J126" s="647"/>
      <c r="K126" s="647"/>
      <c r="L126" s="647"/>
      <c r="M126" s="647"/>
      <c r="N126" s="647"/>
      <c r="O126" s="647"/>
      <c r="P126" s="922"/>
      <c r="Q126" s="647"/>
    </row>
    <row r="127" spans="1:25" s="923" customFormat="1" ht="12.75" customHeight="1" x14ac:dyDescent="0.2">
      <c r="A127" s="918" t="s">
        <v>1125</v>
      </c>
      <c r="B127" s="919"/>
      <c r="C127" s="918" t="s">
        <v>1125</v>
      </c>
      <c r="D127" s="919"/>
      <c r="E127" s="935"/>
      <c r="F127" s="921"/>
      <c r="G127" s="921"/>
      <c r="H127" s="921"/>
      <c r="I127" s="647"/>
      <c r="J127" s="647"/>
      <c r="K127" s="647"/>
      <c r="L127" s="647"/>
      <c r="M127" s="647"/>
      <c r="N127" s="647"/>
      <c r="O127" s="647"/>
      <c r="P127" s="922"/>
      <c r="Q127" s="921"/>
      <c r="R127" s="936"/>
      <c r="S127" s="936"/>
      <c r="T127" s="936"/>
      <c r="U127" s="936"/>
      <c r="V127" s="936"/>
      <c r="W127" s="936"/>
      <c r="X127" s="936"/>
      <c r="Y127" s="936"/>
    </row>
    <row r="128" spans="1:25" s="923" customFormat="1" ht="12.75" customHeight="1" x14ac:dyDescent="0.2">
      <c r="A128" s="918" t="s">
        <v>365</v>
      </c>
      <c r="B128" s="919"/>
      <c r="C128" s="918" t="s">
        <v>365</v>
      </c>
      <c r="D128" s="919"/>
      <c r="E128" s="935"/>
      <c r="F128" s="921"/>
      <c r="G128" s="921"/>
      <c r="H128" s="921"/>
      <c r="I128" s="647"/>
      <c r="J128" s="647"/>
      <c r="K128" s="647"/>
      <c r="L128" s="647"/>
      <c r="M128" s="647"/>
      <c r="N128" s="647"/>
      <c r="O128" s="647"/>
      <c r="P128" s="922"/>
      <c r="Q128" s="921"/>
      <c r="R128" s="936"/>
      <c r="S128" s="936"/>
      <c r="T128" s="936"/>
      <c r="U128" s="936"/>
      <c r="V128" s="936"/>
      <c r="W128" s="936"/>
      <c r="X128" s="936"/>
      <c r="Y128" s="936"/>
    </row>
    <row r="129" spans="1:25" s="923" customFormat="1" ht="12.75" customHeight="1" x14ac:dyDescent="0.2">
      <c r="A129" s="918" t="s">
        <v>360</v>
      </c>
      <c r="B129" s="919"/>
      <c r="C129" s="918" t="s">
        <v>360</v>
      </c>
      <c r="D129" s="919"/>
      <c r="E129" s="935"/>
      <c r="F129" s="921"/>
      <c r="G129" s="921"/>
      <c r="H129" s="921"/>
      <c r="I129" s="647"/>
      <c r="J129" s="647"/>
      <c r="K129" s="647"/>
      <c r="L129" s="647"/>
      <c r="M129" s="647"/>
      <c r="N129" s="647"/>
      <c r="O129" s="647"/>
      <c r="P129" s="922"/>
      <c r="Q129" s="921"/>
      <c r="R129" s="936"/>
      <c r="S129" s="936"/>
      <c r="T129" s="936"/>
      <c r="U129" s="936"/>
      <c r="V129" s="936"/>
      <c r="W129" s="936"/>
      <c r="X129" s="936"/>
      <c r="Y129" s="936"/>
    </row>
    <row r="130" spans="1:25" s="923" customFormat="1" ht="12.75" customHeight="1" x14ac:dyDescent="0.2">
      <c r="A130" s="918" t="s">
        <v>366</v>
      </c>
      <c r="B130" s="919"/>
      <c r="C130" s="918" t="s">
        <v>366</v>
      </c>
      <c r="D130" s="919"/>
      <c r="E130" s="935"/>
      <c r="F130" s="921"/>
      <c r="G130" s="921"/>
      <c r="H130" s="921"/>
      <c r="I130" s="647"/>
      <c r="J130" s="647"/>
      <c r="K130" s="647"/>
      <c r="L130" s="647"/>
      <c r="M130" s="647"/>
      <c r="N130" s="647"/>
      <c r="O130" s="647"/>
      <c r="P130" s="922"/>
      <c r="Q130" s="921"/>
      <c r="R130" s="936"/>
      <c r="S130" s="936"/>
      <c r="T130" s="936"/>
      <c r="U130" s="936"/>
      <c r="V130" s="936"/>
      <c r="W130" s="936"/>
      <c r="X130" s="936"/>
      <c r="Y130" s="936"/>
    </row>
    <row r="131" spans="1:25" s="923" customFormat="1" ht="12.75" customHeight="1" x14ac:dyDescent="0.2">
      <c r="A131" s="918" t="s">
        <v>361</v>
      </c>
      <c r="B131" s="919"/>
      <c r="C131" s="918" t="s">
        <v>361</v>
      </c>
      <c r="D131" s="919"/>
      <c r="E131" s="935"/>
      <c r="F131" s="921"/>
      <c r="G131" s="921"/>
      <c r="H131" s="921"/>
      <c r="I131" s="647"/>
      <c r="J131" s="647"/>
      <c r="K131" s="647"/>
      <c r="L131" s="647"/>
      <c r="M131" s="647"/>
      <c r="N131" s="647"/>
      <c r="O131" s="647"/>
      <c r="P131" s="922"/>
      <c r="Q131" s="921"/>
      <c r="R131" s="936"/>
      <c r="S131" s="936"/>
      <c r="T131" s="936"/>
      <c r="U131" s="936"/>
      <c r="V131" s="936"/>
      <c r="W131" s="936"/>
      <c r="X131" s="936"/>
      <c r="Y131" s="936"/>
    </row>
    <row r="132" spans="1:25" s="923" customFormat="1" ht="12.75" customHeight="1" x14ac:dyDescent="0.2">
      <c r="A132" s="918" t="s">
        <v>367</v>
      </c>
      <c r="B132" s="919"/>
      <c r="C132" s="918" t="s">
        <v>367</v>
      </c>
      <c r="D132" s="919"/>
      <c r="E132" s="935"/>
      <c r="F132" s="921"/>
      <c r="G132" s="921"/>
      <c r="H132" s="921"/>
      <c r="I132" s="647"/>
      <c r="J132" s="647"/>
      <c r="K132" s="647"/>
      <c r="L132" s="647"/>
      <c r="M132" s="647"/>
      <c r="N132" s="647"/>
      <c r="O132" s="647"/>
      <c r="P132" s="922"/>
      <c r="Q132" s="921"/>
      <c r="R132" s="936"/>
      <c r="S132" s="936"/>
      <c r="T132" s="936"/>
      <c r="U132" s="936"/>
      <c r="V132" s="936"/>
      <c r="W132" s="936"/>
      <c r="X132" s="936"/>
      <c r="Y132" s="936"/>
    </row>
    <row r="133" spans="1:25" s="923" customFormat="1" ht="12.75" customHeight="1" x14ac:dyDescent="0.2">
      <c r="A133" s="993" t="s">
        <v>377</v>
      </c>
      <c r="B133" s="994"/>
      <c r="C133" s="995"/>
      <c r="D133" s="996"/>
      <c r="E133" s="935"/>
      <c r="F133" s="921"/>
      <c r="G133" s="921"/>
      <c r="H133" s="921"/>
      <c r="I133" s="647"/>
      <c r="J133" s="647"/>
      <c r="K133" s="647"/>
      <c r="L133" s="647"/>
      <c r="M133" s="647"/>
      <c r="N133" s="647"/>
      <c r="O133" s="647"/>
      <c r="P133" s="922"/>
      <c r="Q133" s="921"/>
      <c r="R133" s="936"/>
      <c r="S133" s="936"/>
      <c r="T133" s="936"/>
      <c r="U133" s="936"/>
      <c r="V133" s="936"/>
      <c r="W133" s="936"/>
      <c r="X133" s="936"/>
      <c r="Y133" s="936"/>
    </row>
    <row r="134" spans="1:25" s="923" customFormat="1" ht="12.75" customHeight="1" x14ac:dyDescent="0.2">
      <c r="A134" s="918" t="s">
        <v>1124</v>
      </c>
      <c r="B134" s="919"/>
      <c r="C134" s="937"/>
      <c r="D134" s="938"/>
      <c r="E134" s="935"/>
      <c r="F134" s="921"/>
      <c r="G134" s="921"/>
      <c r="H134" s="921"/>
      <c r="I134" s="647"/>
      <c r="J134" s="647"/>
      <c r="K134" s="647"/>
      <c r="L134" s="647"/>
      <c r="M134" s="647"/>
      <c r="N134" s="647"/>
      <c r="O134" s="647"/>
      <c r="P134" s="922"/>
      <c r="Q134" s="921"/>
      <c r="R134" s="936"/>
      <c r="S134" s="936"/>
      <c r="T134" s="936"/>
      <c r="U134" s="936"/>
      <c r="V134" s="936"/>
      <c r="W134" s="936"/>
      <c r="X134" s="936"/>
      <c r="Y134" s="936"/>
    </row>
    <row r="135" spans="1:25" s="923" customFormat="1" ht="12.75" customHeight="1" x14ac:dyDescent="0.2">
      <c r="A135" s="918" t="s">
        <v>1125</v>
      </c>
      <c r="B135" s="919"/>
      <c r="C135" s="937"/>
      <c r="D135" s="938"/>
      <c r="E135" s="935"/>
      <c r="F135" s="921"/>
      <c r="G135" s="921"/>
      <c r="H135" s="921"/>
      <c r="I135" s="647"/>
      <c r="J135" s="647"/>
      <c r="K135" s="647"/>
      <c r="L135" s="647"/>
      <c r="M135" s="647"/>
      <c r="N135" s="647"/>
      <c r="O135" s="647"/>
      <c r="P135" s="922"/>
      <c r="Q135" s="921"/>
      <c r="R135" s="936"/>
      <c r="S135" s="936"/>
      <c r="T135" s="936"/>
      <c r="U135" s="936"/>
      <c r="V135" s="936"/>
      <c r="W135" s="936"/>
      <c r="X135" s="936"/>
      <c r="Y135" s="936"/>
    </row>
    <row r="136" spans="1:25" s="923" customFormat="1" ht="12.75" customHeight="1" x14ac:dyDescent="0.2">
      <c r="A136" s="918" t="s">
        <v>365</v>
      </c>
      <c r="B136" s="919"/>
      <c r="C136" s="937"/>
      <c r="D136" s="938"/>
      <c r="E136" s="935"/>
      <c r="F136" s="921"/>
      <c r="G136" s="921"/>
      <c r="H136" s="921"/>
      <c r="I136" s="647"/>
      <c r="J136" s="647"/>
      <c r="K136" s="647"/>
      <c r="L136" s="647"/>
      <c r="M136" s="647"/>
      <c r="N136" s="647"/>
      <c r="O136" s="647"/>
      <c r="P136" s="922"/>
      <c r="Q136" s="921"/>
      <c r="R136" s="936"/>
      <c r="S136" s="936"/>
      <c r="T136" s="936"/>
      <c r="U136" s="936"/>
      <c r="V136" s="936"/>
      <c r="W136" s="936"/>
      <c r="X136" s="936"/>
      <c r="Y136" s="936"/>
    </row>
    <row r="137" spans="1:25" s="923" customFormat="1" ht="12.75" customHeight="1" x14ac:dyDescent="0.2">
      <c r="A137" s="918" t="s">
        <v>360</v>
      </c>
      <c r="B137" s="919"/>
      <c r="C137" s="937"/>
      <c r="D137" s="938"/>
      <c r="E137" s="935"/>
      <c r="F137" s="921"/>
      <c r="G137" s="921"/>
      <c r="H137" s="921"/>
      <c r="I137" s="647"/>
      <c r="J137" s="647"/>
      <c r="K137" s="647"/>
      <c r="L137" s="647"/>
      <c r="M137" s="647"/>
      <c r="N137" s="647"/>
      <c r="O137" s="647"/>
      <c r="P137" s="922"/>
      <c r="Q137" s="921"/>
      <c r="R137" s="936"/>
      <c r="S137" s="936"/>
      <c r="T137" s="936"/>
      <c r="U137" s="936"/>
      <c r="V137" s="936"/>
      <c r="W137" s="936"/>
      <c r="X137" s="936"/>
      <c r="Y137" s="936"/>
    </row>
    <row r="138" spans="1:25" s="923" customFormat="1" ht="12.75" customHeight="1" x14ac:dyDescent="0.2">
      <c r="A138" s="918" t="s">
        <v>366</v>
      </c>
      <c r="B138" s="919"/>
      <c r="C138" s="937"/>
      <c r="D138" s="938"/>
      <c r="E138" s="935"/>
      <c r="F138" s="921"/>
      <c r="G138" s="921"/>
      <c r="H138" s="921"/>
      <c r="I138" s="647"/>
      <c r="J138" s="647"/>
      <c r="K138" s="647"/>
      <c r="L138" s="647"/>
      <c r="M138" s="647"/>
      <c r="N138" s="647"/>
      <c r="O138" s="647"/>
      <c r="P138" s="922"/>
      <c r="Q138" s="921"/>
      <c r="R138" s="936"/>
      <c r="S138" s="936"/>
      <c r="T138" s="936"/>
      <c r="U138" s="936"/>
      <c r="V138" s="936"/>
      <c r="W138" s="936"/>
      <c r="X138" s="936"/>
      <c r="Y138" s="936"/>
    </row>
    <row r="139" spans="1:25" s="923" customFormat="1" ht="12.75" customHeight="1" x14ac:dyDescent="0.2">
      <c r="A139" s="918" t="s">
        <v>361</v>
      </c>
      <c r="B139" s="919"/>
      <c r="C139" s="937"/>
      <c r="D139" s="938"/>
      <c r="E139" s="935"/>
      <c r="F139" s="921"/>
      <c r="G139" s="921"/>
      <c r="H139" s="921"/>
      <c r="I139" s="647"/>
      <c r="J139" s="647"/>
      <c r="K139" s="647"/>
      <c r="L139" s="647"/>
      <c r="M139" s="647"/>
      <c r="N139" s="647"/>
      <c r="O139" s="647"/>
      <c r="P139" s="922"/>
      <c r="Q139" s="921"/>
      <c r="R139" s="936"/>
      <c r="S139" s="936"/>
      <c r="T139" s="936"/>
      <c r="U139" s="936"/>
      <c r="V139" s="936"/>
      <c r="W139" s="936"/>
      <c r="X139" s="936"/>
      <c r="Y139" s="936"/>
    </row>
    <row r="140" spans="1:25" s="923" customFormat="1" ht="12.75" customHeight="1" x14ac:dyDescent="0.2">
      <c r="A140" s="918" t="s">
        <v>367</v>
      </c>
      <c r="B140" s="919"/>
      <c r="C140" s="937"/>
      <c r="D140" s="938"/>
      <c r="E140" s="935"/>
      <c r="F140" s="921"/>
      <c r="G140" s="921"/>
      <c r="H140" s="921"/>
      <c r="I140" s="647"/>
      <c r="J140" s="647"/>
      <c r="K140" s="647"/>
      <c r="L140" s="647"/>
      <c r="M140" s="647"/>
      <c r="N140" s="647"/>
      <c r="O140" s="647"/>
      <c r="P140" s="922"/>
      <c r="Q140" s="921"/>
      <c r="R140" s="936"/>
      <c r="S140" s="936"/>
      <c r="T140" s="936"/>
      <c r="U140" s="936"/>
      <c r="V140" s="936"/>
      <c r="W140" s="936"/>
      <c r="X140" s="936"/>
      <c r="Y140" s="936"/>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5"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B50" sqref="B50"/>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LIM333 Greater Tzaneen - Table C1 Consolidated Monthly Budget Statement Summary - M06 December</v>
      </c>
      <c r="B1" s="346"/>
      <c r="C1" s="346"/>
      <c r="D1" s="346"/>
      <c r="E1" s="346"/>
      <c r="F1" s="346"/>
      <c r="G1" s="346"/>
      <c r="H1" s="346"/>
      <c r="I1" s="346"/>
      <c r="J1" s="346"/>
    </row>
    <row r="2" spans="1:10" x14ac:dyDescent="0.25">
      <c r="A2" s="1017" t="str">
        <f>desc</f>
        <v>Description</v>
      </c>
      <c r="B2" s="158" t="str">
        <f>Head1</f>
        <v>2018/19</v>
      </c>
      <c r="C2" s="1019" t="str">
        <f>Head2</f>
        <v>Budget Year 2019/20</v>
      </c>
      <c r="D2" s="1020"/>
      <c r="E2" s="1020"/>
      <c r="F2" s="1020"/>
      <c r="G2" s="1020"/>
      <c r="H2" s="1020"/>
      <c r="I2" s="1020"/>
      <c r="J2" s="1021"/>
    </row>
    <row r="3" spans="1:10" ht="25.5" x14ac:dyDescent="0.25">
      <c r="A3" s="1018"/>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676</v>
      </c>
      <c r="B4" s="19"/>
      <c r="C4" s="222"/>
      <c r="D4" s="82"/>
      <c r="E4" s="82"/>
      <c r="F4" s="82"/>
      <c r="G4" s="82"/>
      <c r="H4" s="82"/>
      <c r="I4" s="242" t="s">
        <v>583</v>
      </c>
      <c r="J4" s="223"/>
    </row>
    <row r="5" spans="1:10" ht="12.75" customHeight="1" x14ac:dyDescent="0.25">
      <c r="A5" s="155" t="s">
        <v>759</v>
      </c>
      <c r="B5" s="172"/>
      <c r="C5" s="191"/>
      <c r="D5" s="192"/>
      <c r="E5" s="192"/>
      <c r="F5" s="192"/>
      <c r="G5" s="192"/>
      <c r="H5" s="192"/>
      <c r="I5" s="200"/>
      <c r="J5" s="193"/>
    </row>
    <row r="6" spans="1:10" ht="12.75" customHeight="1" x14ac:dyDescent="0.25">
      <c r="A6" s="152" t="s">
        <v>946</v>
      </c>
      <c r="B6" s="649">
        <f>SUM('C4-FinPerf RE'!C6:C6)</f>
        <v>119183221</v>
      </c>
      <c r="C6" s="650">
        <f>SUM('C4-FinPerf RE'!D6:D6)</f>
        <v>112400000</v>
      </c>
      <c r="D6" s="408">
        <f>SUM('C4-FinPerf RE'!E6:E6)</f>
        <v>112400000</v>
      </c>
      <c r="E6" s="408">
        <f>SUM('C4-FinPerf RE'!F6:F6)</f>
        <v>10552298.24</v>
      </c>
      <c r="F6" s="408">
        <f>SUM('C4-FinPerf RE'!G6:G6)</f>
        <v>63148084.869999997</v>
      </c>
      <c r="G6" s="651">
        <f>SUM('C4-FinPerf RE'!H6:H6)</f>
        <v>59311593.960000001</v>
      </c>
      <c r="H6" s="408">
        <f>F6-G6</f>
        <v>3836490.9099999964</v>
      </c>
      <c r="I6" s="592">
        <f>IF(H6=0,"",H6/G6)</f>
        <v>6.4683658857446022E-2</v>
      </c>
      <c r="J6" s="643">
        <f>SUM('C4-FinPerf RE'!K6:K6)</f>
        <v>112400000</v>
      </c>
    </row>
    <row r="7" spans="1:10" ht="12.75" customHeight="1" x14ac:dyDescent="0.25">
      <c r="A7" s="152" t="s">
        <v>977</v>
      </c>
      <c r="B7" s="649">
        <f>SUM('C4-FinPerf RE'!C7:C10)</f>
        <v>482916172.95999998</v>
      </c>
      <c r="C7" s="650">
        <f>SUM('C4-FinPerf RE'!D7:D10)</f>
        <v>611052657</v>
      </c>
      <c r="D7" s="408">
        <f>SUM('C4-FinPerf RE'!E7:E10)</f>
        <v>604052657</v>
      </c>
      <c r="E7" s="408">
        <f>SUM('C4-FinPerf RE'!F7:F10)</f>
        <v>40282670.700000003</v>
      </c>
      <c r="F7" s="408">
        <f>SUM('C4-FinPerf RE'!G7:G10)</f>
        <v>311078756.16000003</v>
      </c>
      <c r="G7" s="651">
        <f>SUM('C4-FinPerf RE'!H7:H10)</f>
        <v>285999869.12</v>
      </c>
      <c r="H7" s="408">
        <f>F7-G7</f>
        <v>25078887.040000021</v>
      </c>
      <c r="I7" s="207">
        <f>IF(H7=0,"",H7/G7)</f>
        <v>8.7688456351976182E-2</v>
      </c>
      <c r="J7" s="643">
        <f>SUM('C4-FinPerf RE'!K7:K10)</f>
        <v>611052657</v>
      </c>
    </row>
    <row r="8" spans="1:10" ht="12.75" customHeight="1" x14ac:dyDescent="0.25">
      <c r="A8" s="152" t="s">
        <v>503</v>
      </c>
      <c r="B8" s="649">
        <f>'C4-FinPerf RE'!C13</f>
        <v>9615814.0199999996</v>
      </c>
      <c r="C8" s="650">
        <f>'C4-FinPerf RE'!D13</f>
        <v>4301000</v>
      </c>
      <c r="D8" s="408">
        <f>'C4-FinPerf RE'!E13</f>
        <v>4301000</v>
      </c>
      <c r="E8" s="408">
        <f>'C4-FinPerf RE'!F13</f>
        <v>207711.31</v>
      </c>
      <c r="F8" s="408">
        <f>'C4-FinPerf RE'!G13</f>
        <v>2114063.89</v>
      </c>
      <c r="G8" s="651">
        <f>'C4-FinPerf RE'!H13</f>
        <v>2631410.0699999998</v>
      </c>
      <c r="H8" s="408">
        <f>F8-G8</f>
        <v>-517346.1799999997</v>
      </c>
      <c r="I8" s="207">
        <f>IF(H8=0,"",H8/G8)</f>
        <v>-0.19660416515773224</v>
      </c>
      <c r="J8" s="643">
        <f>'C4-FinPerf RE'!K13</f>
        <v>4301000</v>
      </c>
    </row>
    <row r="9" spans="1:10" ht="12.75" customHeight="1" x14ac:dyDescent="0.25">
      <c r="A9" s="152" t="s">
        <v>1127</v>
      </c>
      <c r="B9" s="649">
        <f>'C4-FinPerf RE'!C19</f>
        <v>356544299.81</v>
      </c>
      <c r="C9" s="650">
        <f>'C4-FinPerf RE'!D19</f>
        <v>416300150</v>
      </c>
      <c r="D9" s="408">
        <f>'C4-FinPerf RE'!E19</f>
        <v>417337256.26999998</v>
      </c>
      <c r="E9" s="408">
        <f>'C4-FinPerf RE'!F19</f>
        <v>127772000</v>
      </c>
      <c r="F9" s="408">
        <f>'C4-FinPerf RE'!G19</f>
        <v>305815000</v>
      </c>
      <c r="G9" s="651">
        <f>'C4-FinPerf RE'!H19</f>
        <v>267940312.84</v>
      </c>
      <c r="H9" s="408">
        <f>F9-G9</f>
        <v>37874687.159999996</v>
      </c>
      <c r="I9" s="207">
        <f>IF(H9=0,"",H9/G9)</f>
        <v>0.14135494117533851</v>
      </c>
      <c r="J9" s="643">
        <f>'C4-FinPerf RE'!K19</f>
        <v>416300150</v>
      </c>
    </row>
    <row r="10" spans="1:10" ht="12.75" customHeight="1" x14ac:dyDescent="0.25">
      <c r="A10" s="232" t="s">
        <v>501</v>
      </c>
      <c r="B10" s="652">
        <f>'C4-FinPerf RE'!C12+'C4-FinPerf RE'!C14+'C4-FinPerf RE'!C15+'C4-FinPerf RE'!C16+'C4-FinPerf RE'!C17+'C4-FinPerf RE'!C18+'C4-FinPerf RE'!C20+'C4-FinPerf RE'!C21</f>
        <v>90943285.75999999</v>
      </c>
      <c r="C10" s="653">
        <f>'C4-FinPerf RE'!D12+'C4-FinPerf RE'!D14+'C4-FinPerf RE'!D15+'C4-FinPerf RE'!D16+'C4-FinPerf RE'!D17+'C4-FinPerf RE'!D18+'C4-FinPerf RE'!D20+'C4-FinPerf RE'!D21</f>
        <v>125572650</v>
      </c>
      <c r="D10" s="409">
        <f>'C4-FinPerf RE'!E12+'C4-FinPerf RE'!E14+'C4-FinPerf RE'!E15+'C4-FinPerf RE'!E16+'C4-FinPerf RE'!E17+'C4-FinPerf RE'!E18+'C4-FinPerf RE'!E20+'C4-FinPerf RE'!E21</f>
        <v>125572650</v>
      </c>
      <c r="E10" s="409">
        <f>'C4-FinPerf RE'!F12+'C4-FinPerf RE'!F14+'C4-FinPerf RE'!F15+'C4-FinPerf RE'!F16+'C4-FinPerf RE'!F17+'C4-FinPerf RE'!F18+'C4-FinPerf RE'!F20+'C4-FinPerf RE'!F21</f>
        <v>8477694.4199999999</v>
      </c>
      <c r="F10" s="409">
        <f>'C4-FinPerf RE'!G12+'C4-FinPerf RE'!G14+'C4-FinPerf RE'!G15+'C4-FinPerf RE'!G16+'C4-FinPerf RE'!G17+'C4-FinPerf RE'!G18+'C4-FinPerf RE'!G20+'C4-FinPerf RE'!G21</f>
        <v>50796499.490000002</v>
      </c>
      <c r="G10" s="654">
        <f>'C4-FinPerf RE'!H12+'C4-FinPerf RE'!H14+'C4-FinPerf RE'!H15+'C4-FinPerf RE'!H16+'C4-FinPerf RE'!H17+'C4-FinPerf RE'!H18+'C4-FinPerf RE'!H20+'C4-FinPerf RE'!H21</f>
        <v>46822365.410000004</v>
      </c>
      <c r="H10" s="409">
        <f>F10-G10</f>
        <v>3974134.0799999982</v>
      </c>
      <c r="I10" s="208">
        <f>IF(H10=0,"",H10/G10)</f>
        <v>8.4876832795620138E-2</v>
      </c>
      <c r="J10" s="655">
        <f>'C4-FinPerf RE'!K12+'C4-FinPerf RE'!K14+'C4-FinPerf RE'!K15+'C4-FinPerf RE'!K16+'C4-FinPerf RE'!K17+'C4-FinPerf RE'!K18+'C4-FinPerf RE'!K20+'C4-FinPerf RE'!K21</f>
        <v>125572650</v>
      </c>
    </row>
    <row r="11" spans="1:10" ht="23.25" customHeight="1" x14ac:dyDescent="0.25">
      <c r="A11" s="583" t="s">
        <v>140</v>
      </c>
      <c r="B11" s="656">
        <f t="shared" ref="B11:J11" si="0">SUM(B6:B10)</f>
        <v>1059202793.55</v>
      </c>
      <c r="C11" s="657">
        <f t="shared" si="0"/>
        <v>1269626457</v>
      </c>
      <c r="D11" s="658">
        <f t="shared" si="0"/>
        <v>1263663563.27</v>
      </c>
      <c r="E11" s="658">
        <f t="shared" si="0"/>
        <v>187292374.66999999</v>
      </c>
      <c r="F11" s="658">
        <f t="shared" si="0"/>
        <v>732952404.41000009</v>
      </c>
      <c r="G11" s="659">
        <f t="shared" si="0"/>
        <v>662705551.39999998</v>
      </c>
      <c r="H11" s="658">
        <f t="shared" ref="H11:H25" si="1">F11-G11</f>
        <v>70246853.01000011</v>
      </c>
      <c r="I11" s="594">
        <f t="shared" ref="I11:I25" si="2">IF(H11=0,"",H11/G11)</f>
        <v>0.10600009742124535</v>
      </c>
      <c r="J11" s="660">
        <f t="shared" si="0"/>
        <v>1269626457</v>
      </c>
    </row>
    <row r="12" spans="1:10" ht="12.75" customHeight="1" x14ac:dyDescent="0.25">
      <c r="A12" s="152" t="s">
        <v>482</v>
      </c>
      <c r="B12" s="649">
        <f>'C4-FinPerf RE'!C25</f>
        <v>295232470.99999994</v>
      </c>
      <c r="C12" s="650">
        <f>'C4-FinPerf RE'!D25</f>
        <v>357557390.95999998</v>
      </c>
      <c r="D12" s="408">
        <f>'C4-FinPerf RE'!E25</f>
        <v>325483419.34999996</v>
      </c>
      <c r="E12" s="408">
        <f>'C4-FinPerf RE'!F25</f>
        <v>26140700.329999987</v>
      </c>
      <c r="F12" s="408">
        <f>'C4-FinPerf RE'!G25</f>
        <v>157537230.61000007</v>
      </c>
      <c r="G12" s="651">
        <f>'C4-FinPerf RE'!H25</f>
        <v>147778045.63</v>
      </c>
      <c r="H12" s="408">
        <f t="shared" si="1"/>
        <v>9759184.9800000787</v>
      </c>
      <c r="I12" s="207">
        <f t="shared" si="2"/>
        <v>6.6039477910234956E-2</v>
      </c>
      <c r="J12" s="643">
        <f>'C4-FinPerf RE'!K25</f>
        <v>357557390.95999998</v>
      </c>
    </row>
    <row r="13" spans="1:10" ht="12.75" customHeight="1" x14ac:dyDescent="0.25">
      <c r="A13" s="152" t="s">
        <v>855</v>
      </c>
      <c r="B13" s="649">
        <f>'C4-FinPerf RE'!C26</f>
        <v>26136302</v>
      </c>
      <c r="C13" s="650">
        <f>'C4-FinPerf RE'!D26</f>
        <v>28967131</v>
      </c>
      <c r="D13" s="408">
        <f>'C4-FinPerf RE'!E26</f>
        <v>28266131</v>
      </c>
      <c r="E13" s="408">
        <f>'C4-FinPerf RE'!F26</f>
        <v>2205321.12</v>
      </c>
      <c r="F13" s="408">
        <f>'C4-FinPerf RE'!G26</f>
        <v>13216697.16</v>
      </c>
      <c r="G13" s="651">
        <f>'C4-FinPerf RE'!H26</f>
        <v>12662443.319999998</v>
      </c>
      <c r="H13" s="408">
        <f t="shared" si="1"/>
        <v>554253.84000000171</v>
      </c>
      <c r="I13" s="207">
        <f t="shared" si="2"/>
        <v>4.377147648310277E-2</v>
      </c>
      <c r="J13" s="643">
        <f>'C4-FinPerf RE'!K26</f>
        <v>28967131</v>
      </c>
    </row>
    <row r="14" spans="1:10" ht="12.75" customHeight="1" x14ac:dyDescent="0.25">
      <c r="A14" s="582" t="s">
        <v>673</v>
      </c>
      <c r="B14" s="649">
        <f>'C4-FinPerf RE'!C28</f>
        <v>127724087</v>
      </c>
      <c r="C14" s="650">
        <f>'C4-FinPerf RE'!D28</f>
        <v>134196513</v>
      </c>
      <c r="D14" s="408">
        <f>'C4-FinPerf RE'!E28</f>
        <v>130000000</v>
      </c>
      <c r="E14" s="408">
        <f>'C4-FinPerf RE'!F28</f>
        <v>0</v>
      </c>
      <c r="F14" s="408">
        <f>'C4-FinPerf RE'!G28</f>
        <v>0</v>
      </c>
      <c r="G14" s="651">
        <f>'C4-FinPerf RE'!H28</f>
        <v>0</v>
      </c>
      <c r="H14" s="408">
        <f t="shared" si="1"/>
        <v>0</v>
      </c>
      <c r="I14" s="207" t="str">
        <f t="shared" si="2"/>
        <v/>
      </c>
      <c r="J14" s="643">
        <f>'C4-FinPerf RE'!K28</f>
        <v>134196513</v>
      </c>
    </row>
    <row r="15" spans="1:10" ht="12.75" customHeight="1" x14ac:dyDescent="0.25">
      <c r="A15" s="152" t="s">
        <v>459</v>
      </c>
      <c r="B15" s="649">
        <f>'C4-FinPerf RE'!C29</f>
        <v>11973760</v>
      </c>
      <c r="C15" s="650">
        <f>'C4-FinPerf RE'!D29</f>
        <v>14658314</v>
      </c>
      <c r="D15" s="408">
        <f>'C4-FinPerf RE'!E29</f>
        <v>14658314</v>
      </c>
      <c r="E15" s="408">
        <f>'C4-FinPerf RE'!F29</f>
        <v>2783134.38</v>
      </c>
      <c r="F15" s="408">
        <f>'C4-FinPerf RE'!G29</f>
        <v>7392184.7800000003</v>
      </c>
      <c r="G15" s="651">
        <f>'C4-FinPerf RE'!H29</f>
        <v>4680920.99</v>
      </c>
      <c r="H15" s="408">
        <f t="shared" si="1"/>
        <v>2711263.79</v>
      </c>
      <c r="I15" s="207">
        <f t="shared" si="2"/>
        <v>0.57921588418009162</v>
      </c>
      <c r="J15" s="643">
        <f>'C4-FinPerf RE'!K29</f>
        <v>14658314</v>
      </c>
    </row>
    <row r="16" spans="1:10" ht="12.75" customHeight="1" x14ac:dyDescent="0.25">
      <c r="A16" s="152" t="s">
        <v>502</v>
      </c>
      <c r="B16" s="649">
        <f>SUM('C4-FinPerf RE'!C30:C31)</f>
        <v>390601775</v>
      </c>
      <c r="C16" s="650">
        <f>SUM('C4-FinPerf RE'!D30:D31)</f>
        <v>474608248.81</v>
      </c>
      <c r="D16" s="408">
        <f>SUM('C4-FinPerf RE'!E30:E31)</f>
        <v>457968561.81</v>
      </c>
      <c r="E16" s="408">
        <f>SUM('C4-FinPerf RE'!F30:F31)</f>
        <v>89957964.310000002</v>
      </c>
      <c r="F16" s="408">
        <f>SUM('C4-FinPerf RE'!G30:G31)</f>
        <v>201626174.00999999</v>
      </c>
      <c r="G16" s="651">
        <f>SUM('C4-FinPerf RE'!H30:H31)</f>
        <v>178947417.62</v>
      </c>
      <c r="H16" s="408">
        <f t="shared" si="1"/>
        <v>22678756.389999986</v>
      </c>
      <c r="I16" s="592">
        <f t="shared" si="2"/>
        <v>0.12673419204159167</v>
      </c>
      <c r="J16" s="643">
        <f>SUM('C4-FinPerf RE'!K30:K31)</f>
        <v>474608248.81</v>
      </c>
    </row>
    <row r="17" spans="1:11" ht="12.75" customHeight="1" x14ac:dyDescent="0.25">
      <c r="A17" s="152" t="s">
        <v>1127</v>
      </c>
      <c r="B17" s="649">
        <f>'C4-FinPerf RE'!C33</f>
        <v>50297361</v>
      </c>
      <c r="C17" s="650">
        <f>'C4-FinPerf RE'!D33</f>
        <v>36021812</v>
      </c>
      <c r="D17" s="408">
        <f>'C4-FinPerf RE'!E33</f>
        <v>34666106.270000003</v>
      </c>
      <c r="E17" s="408">
        <f>'C4-FinPerf RE'!F33</f>
        <v>2149446.38</v>
      </c>
      <c r="F17" s="408">
        <f>'C4-FinPerf RE'!G33</f>
        <v>9590172.4600000009</v>
      </c>
      <c r="G17" s="651">
        <f>'C4-FinPerf RE'!H33</f>
        <v>6370994.6799999997</v>
      </c>
      <c r="H17" s="408">
        <f t="shared" si="1"/>
        <v>3219177.7800000012</v>
      </c>
      <c r="I17" s="207">
        <f t="shared" si="2"/>
        <v>0.50528652772317195</v>
      </c>
      <c r="J17" s="643">
        <f>'C4-FinPerf RE'!K33</f>
        <v>36021812</v>
      </c>
    </row>
    <row r="18" spans="1:11" ht="12.75" customHeight="1" x14ac:dyDescent="0.25">
      <c r="A18" s="152" t="s">
        <v>440</v>
      </c>
      <c r="B18" s="649">
        <f>'C4-FinPerf RE'!C36-SUM('C1-Sum'!B12:B17)</f>
        <v>310378910</v>
      </c>
      <c r="C18" s="650">
        <f>'C4-FinPerf RE'!D36-SUM('C1-Sum'!C12:C17)</f>
        <v>267887569.19000006</v>
      </c>
      <c r="D18" s="408">
        <f>'C4-FinPerf RE'!E36-SUM('C1-Sum'!D12:D17)</f>
        <v>237503099.18999994</v>
      </c>
      <c r="E18" s="408">
        <f>'C4-FinPerf RE'!F36-SUM('C1-Sum'!E12:E17)</f>
        <v>25626960.520000011</v>
      </c>
      <c r="F18" s="408">
        <f>'C4-FinPerf RE'!G36-SUM('C1-Sum'!F12:F17)</f>
        <v>114880068.12</v>
      </c>
      <c r="G18" s="651">
        <f>'C4-FinPerf RE'!H36-SUM('C1-Sum'!G12:G17)</f>
        <v>94000373.480000019</v>
      </c>
      <c r="H18" s="408">
        <f t="shared" si="1"/>
        <v>20879694.639999986</v>
      </c>
      <c r="I18" s="207">
        <f t="shared" si="2"/>
        <v>0.22212352852451647</v>
      </c>
      <c r="J18" s="643">
        <f>'C4-FinPerf RE'!K36-SUM('C1-Sum'!J12:J17)</f>
        <v>267887569.19000006</v>
      </c>
    </row>
    <row r="19" spans="1:11" ht="12.75" customHeight="1" x14ac:dyDescent="0.25">
      <c r="A19" s="584" t="s">
        <v>495</v>
      </c>
      <c r="B19" s="661">
        <f t="shared" ref="B19:G19" si="3">SUM(B12:B18)</f>
        <v>1212344666</v>
      </c>
      <c r="C19" s="662">
        <f t="shared" si="3"/>
        <v>1313896978.96</v>
      </c>
      <c r="D19" s="663">
        <f t="shared" si="3"/>
        <v>1228545631.6199999</v>
      </c>
      <c r="E19" s="663">
        <f t="shared" si="3"/>
        <v>148863527.03999999</v>
      </c>
      <c r="F19" s="663">
        <f t="shared" si="3"/>
        <v>504242527.14000005</v>
      </c>
      <c r="G19" s="664">
        <f t="shared" si="3"/>
        <v>444440195.72000003</v>
      </c>
      <c r="H19" s="663">
        <f t="shared" si="1"/>
        <v>59802331.420000017</v>
      </c>
      <c r="I19" s="382">
        <f t="shared" si="2"/>
        <v>0.13455653200566009</v>
      </c>
      <c r="J19" s="665">
        <f>SUM(J12:J18)</f>
        <v>1313896978.96</v>
      </c>
    </row>
    <row r="20" spans="1:11" ht="12.75" customHeight="1" x14ac:dyDescent="0.25">
      <c r="A20" s="153" t="s">
        <v>496</v>
      </c>
      <c r="B20" s="666">
        <f t="shared" ref="B20:G20" si="4">B11-B19</f>
        <v>-153141872.45000005</v>
      </c>
      <c r="C20" s="667">
        <f t="shared" si="4"/>
        <v>-44270521.960000038</v>
      </c>
      <c r="D20" s="638">
        <f t="shared" si="4"/>
        <v>35117931.650000095</v>
      </c>
      <c r="E20" s="638">
        <f t="shared" si="4"/>
        <v>38428847.629999995</v>
      </c>
      <c r="F20" s="638">
        <f t="shared" si="4"/>
        <v>228709877.27000004</v>
      </c>
      <c r="G20" s="668">
        <f t="shared" si="4"/>
        <v>218265355.67999995</v>
      </c>
      <c r="H20" s="638">
        <f t="shared" si="1"/>
        <v>10444521.590000093</v>
      </c>
      <c r="I20" s="206">
        <f t="shared" si="2"/>
        <v>4.7852402216835843E-2</v>
      </c>
      <c r="J20" s="642">
        <f>J11-J19</f>
        <v>-44270521.960000038</v>
      </c>
    </row>
    <row r="21" spans="1:11" ht="12.75" customHeight="1" x14ac:dyDescent="0.25">
      <c r="A21" s="152" t="str">
        <f>'C4-FinPerf RE'!A39</f>
        <v>Transfers and subsidies - capital (monetary allocations) (National / Provincial and District)</v>
      </c>
      <c r="B21" s="649">
        <f>'C4-FinPerf RE'!C39</f>
        <v>76150621.189999998</v>
      </c>
      <c r="C21" s="650">
        <f>'C4-FinPerf RE'!D39</f>
        <v>89549850</v>
      </c>
      <c r="D21" s="408">
        <f>'C4-FinPerf RE'!E39</f>
        <v>89549850</v>
      </c>
      <c r="E21" s="408">
        <f>'C4-FinPerf RE'!F39</f>
        <v>0</v>
      </c>
      <c r="F21" s="408">
        <f>'C4-FinPerf RE'!G39</f>
        <v>63718000</v>
      </c>
      <c r="G21" s="651">
        <f>'C4-FinPerf RE'!H39</f>
        <v>78467000</v>
      </c>
      <c r="H21" s="408">
        <f t="shared" si="1"/>
        <v>-14749000</v>
      </c>
      <c r="I21" s="207">
        <f t="shared" si="2"/>
        <v>-0.18796436718620566</v>
      </c>
      <c r="J21" s="643">
        <f>'C4-FinPerf RE'!K39</f>
        <v>89549850</v>
      </c>
    </row>
    <row r="22" spans="1:11" ht="12.75" customHeight="1" x14ac:dyDescent="0.25">
      <c r="A22" s="152" t="s">
        <v>918</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763</v>
      </c>
      <c r="B23" s="656">
        <f t="shared" ref="B23:G23" si="5">B20+B21+B22</f>
        <v>-76991251.26000005</v>
      </c>
      <c r="C23" s="657">
        <f t="shared" si="5"/>
        <v>45279328.039999962</v>
      </c>
      <c r="D23" s="658">
        <f t="shared" si="5"/>
        <v>124667781.6500001</v>
      </c>
      <c r="E23" s="658">
        <f t="shared" si="5"/>
        <v>38428847.629999995</v>
      </c>
      <c r="F23" s="658">
        <f t="shared" si="5"/>
        <v>292427877.27000004</v>
      </c>
      <c r="G23" s="659">
        <f t="shared" si="5"/>
        <v>296732355.67999995</v>
      </c>
      <c r="H23" s="658">
        <f t="shared" si="1"/>
        <v>-4304478.409999907</v>
      </c>
      <c r="I23" s="593">
        <f t="shared" si="2"/>
        <v>-1.4506265756343447E-2</v>
      </c>
      <c r="J23" s="660">
        <f>J20+J21+J22</f>
        <v>45279328.039999962</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907</v>
      </c>
      <c r="B25" s="666">
        <f t="shared" ref="B25:G25" si="6">B23+B24</f>
        <v>-76991251.26000005</v>
      </c>
      <c r="C25" s="667">
        <f t="shared" si="6"/>
        <v>45279328.039999962</v>
      </c>
      <c r="D25" s="638">
        <f t="shared" si="6"/>
        <v>124667781.6500001</v>
      </c>
      <c r="E25" s="638">
        <f t="shared" si="6"/>
        <v>38428847.629999995</v>
      </c>
      <c r="F25" s="638">
        <f t="shared" si="6"/>
        <v>292427877.27000004</v>
      </c>
      <c r="G25" s="668">
        <f t="shared" si="6"/>
        <v>296732355.67999995</v>
      </c>
      <c r="H25" s="638">
        <f t="shared" si="1"/>
        <v>-4304478.409999907</v>
      </c>
      <c r="I25" s="206">
        <f t="shared" si="2"/>
        <v>-1.4506265756343447E-2</v>
      </c>
      <c r="J25" s="642">
        <f>J23+J24</f>
        <v>45279328.039999962</v>
      </c>
    </row>
    <row r="26" spans="1:11" ht="5.0999999999999996" customHeight="1" x14ac:dyDescent="0.25">
      <c r="A26" s="154"/>
      <c r="B26" s="209"/>
      <c r="C26" s="210"/>
      <c r="D26" s="32"/>
      <c r="E26" s="32"/>
      <c r="F26" s="32"/>
      <c r="G26" s="32"/>
      <c r="H26" s="32"/>
      <c r="I26" s="211"/>
      <c r="J26" s="212"/>
    </row>
    <row r="27" spans="1:11" ht="12.75" customHeight="1" x14ac:dyDescent="0.25">
      <c r="A27" s="151" t="s">
        <v>942</v>
      </c>
      <c r="B27" s="213"/>
      <c r="C27" s="214"/>
      <c r="D27" s="30"/>
      <c r="E27" s="30"/>
      <c r="F27" s="30"/>
      <c r="G27" s="30"/>
      <c r="H27" s="30"/>
      <c r="I27" s="215"/>
      <c r="J27" s="216"/>
    </row>
    <row r="28" spans="1:11" ht="12.75" customHeight="1" x14ac:dyDescent="0.25">
      <c r="A28" s="153" t="s">
        <v>590</v>
      </c>
      <c r="B28" s="661">
        <f>'C5-Capex'!C40</f>
        <v>103447828.51000001</v>
      </c>
      <c r="C28" s="662">
        <f>'C5-Capex'!D40</f>
        <v>142719850</v>
      </c>
      <c r="D28" s="663">
        <f>'C5-Capex'!E40</f>
        <v>142719850</v>
      </c>
      <c r="E28" s="663">
        <f>'C5-Capex'!F40</f>
        <v>25314667.420000002</v>
      </c>
      <c r="F28" s="663">
        <f>'C5-Capex'!G40</f>
        <v>74625500.449999988</v>
      </c>
      <c r="G28" s="664">
        <f>'C5-Capex'!H40</f>
        <v>79540000</v>
      </c>
      <c r="H28" s="663">
        <f t="shared" ref="H28:H33" si="7">F28-G28</f>
        <v>-4914499.5500000119</v>
      </c>
      <c r="I28" s="382">
        <f t="shared" ref="I28:I33" si="8">IF(H28=0,"",H28/G28)</f>
        <v>-6.178651684686965E-2</v>
      </c>
      <c r="J28" s="665">
        <f>'C5-Capex'!K40</f>
        <v>142719850</v>
      </c>
    </row>
    <row r="29" spans="1:11" ht="12.75" customHeight="1" x14ac:dyDescent="0.25">
      <c r="A29" s="152" t="s">
        <v>506</v>
      </c>
      <c r="B29" s="649">
        <f>'C5-Capex'!C70</f>
        <v>48393588.5</v>
      </c>
      <c r="C29" s="650">
        <f>'C5-Capex'!D70</f>
        <v>89549850</v>
      </c>
      <c r="D29" s="408">
        <f>'C5-Capex'!E70</f>
        <v>89549850</v>
      </c>
      <c r="E29" s="408">
        <f>'C5-Capex'!F70</f>
        <v>8520424.6600000001</v>
      </c>
      <c r="F29" s="408">
        <f>'C5-Capex'!G70</f>
        <v>48056384.069999993</v>
      </c>
      <c r="G29" s="651">
        <f>'C5-Capex'!H70</f>
        <v>50285000</v>
      </c>
      <c r="H29" s="408">
        <f t="shared" si="7"/>
        <v>-2228615.9300000072</v>
      </c>
      <c r="I29" s="592">
        <f t="shared" si="8"/>
        <v>-4.4319696330913934E-2</v>
      </c>
      <c r="J29" s="643">
        <f>'C5-Capex'!K70</f>
        <v>89549850</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790</v>
      </c>
      <c r="B31" s="649">
        <f>'C5-Capex'!C72</f>
        <v>20907460</v>
      </c>
      <c r="C31" s="650">
        <f>'C5-Capex'!D72</f>
        <v>20000000</v>
      </c>
      <c r="D31" s="408">
        <f>'C5-Capex'!E72</f>
        <v>20000000</v>
      </c>
      <c r="E31" s="408">
        <f>'C5-Capex'!F72</f>
        <v>14329338.289999999</v>
      </c>
      <c r="F31" s="408">
        <f>'C5-Capex'!G72</f>
        <v>20226821.41</v>
      </c>
      <c r="G31" s="651">
        <f>'C5-Capex'!H72</f>
        <v>21568000</v>
      </c>
      <c r="H31" s="408">
        <f t="shared" si="7"/>
        <v>-1341178.5899999999</v>
      </c>
      <c r="I31" s="207">
        <f t="shared" si="8"/>
        <v>-6.2183725426557854E-2</v>
      </c>
      <c r="J31" s="643">
        <f>'C5-Capex'!K72</f>
        <v>20000000</v>
      </c>
      <c r="K31" s="156"/>
    </row>
    <row r="32" spans="1:11" ht="12.75" customHeight="1" x14ac:dyDescent="0.25">
      <c r="A32" s="152" t="s">
        <v>479</v>
      </c>
      <c r="B32" s="661">
        <f>'C5-Capex'!C73</f>
        <v>34146780</v>
      </c>
      <c r="C32" s="662">
        <f>'C5-Capex'!D73</f>
        <v>33170000</v>
      </c>
      <c r="D32" s="663">
        <f>'C5-Capex'!E73</f>
        <v>33170000</v>
      </c>
      <c r="E32" s="663">
        <f>'C5-Capex'!F73</f>
        <v>2464904.4700000002</v>
      </c>
      <c r="F32" s="663">
        <f>'C5-Capex'!G73</f>
        <v>6342295</v>
      </c>
      <c r="G32" s="664">
        <f>'C5-Capex'!H73</f>
        <v>7687000</v>
      </c>
      <c r="H32" s="663">
        <f t="shared" si="7"/>
        <v>-1344705</v>
      </c>
      <c r="I32" s="382">
        <f t="shared" si="8"/>
        <v>-0.17493235332379342</v>
      </c>
      <c r="J32" s="665">
        <f>'C5-Capex'!K73</f>
        <v>33170000</v>
      </c>
      <c r="K32" s="156"/>
    </row>
    <row r="33" spans="1:10" ht="12.75" customHeight="1" x14ac:dyDescent="0.25">
      <c r="A33" s="584" t="s">
        <v>143</v>
      </c>
      <c r="B33" s="669">
        <f t="shared" ref="B33:G33" si="9">+B29+B31+B32</f>
        <v>103447828.5</v>
      </c>
      <c r="C33" s="614">
        <f t="shared" si="9"/>
        <v>142719850</v>
      </c>
      <c r="D33" s="612">
        <f t="shared" si="9"/>
        <v>142719850</v>
      </c>
      <c r="E33" s="612">
        <f t="shared" si="9"/>
        <v>25314667.419999998</v>
      </c>
      <c r="F33" s="612">
        <f t="shared" si="9"/>
        <v>74625500.479999989</v>
      </c>
      <c r="G33" s="613">
        <f t="shared" si="9"/>
        <v>79540000</v>
      </c>
      <c r="H33" s="612">
        <f t="shared" si="7"/>
        <v>-4914499.5200000107</v>
      </c>
      <c r="I33" s="595">
        <f t="shared" si="8"/>
        <v>-6.1786516469700917E-2</v>
      </c>
      <c r="J33" s="615">
        <f>+J29+J31+J32</f>
        <v>142719850</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641</v>
      </c>
      <c r="B36" s="649">
        <f>'C6-FinPos'!C13</f>
        <v>451320200</v>
      </c>
      <c r="C36" s="650">
        <f>'C6-FinPos'!D13</f>
        <v>466057613.20480001</v>
      </c>
      <c r="D36" s="408">
        <f>'C6-FinPos'!E13</f>
        <v>543679793.6846</v>
      </c>
      <c r="E36" s="408"/>
      <c r="F36" s="408">
        <f>'C6-FinPos'!F13</f>
        <v>0</v>
      </c>
      <c r="G36" s="217"/>
      <c r="H36" s="217"/>
      <c r="I36" s="219"/>
      <c r="J36" s="643">
        <f>'C6-FinPos'!G13</f>
        <v>466057613.20480001</v>
      </c>
    </row>
    <row r="37" spans="1:10" ht="12.75" customHeight="1" x14ac:dyDescent="0.25">
      <c r="A37" s="152" t="s">
        <v>640</v>
      </c>
      <c r="B37" s="649">
        <f>'C6-FinPos'!C25</f>
        <v>1669460095</v>
      </c>
      <c r="C37" s="650">
        <f>'C6-FinPos'!D25</f>
        <v>1856188392.6479001</v>
      </c>
      <c r="D37" s="408">
        <f>'C6-FinPos'!E25</f>
        <v>1856188392.6479001</v>
      </c>
      <c r="E37" s="408"/>
      <c r="F37" s="408">
        <f>'C6-FinPos'!F25</f>
        <v>0</v>
      </c>
      <c r="G37" s="217"/>
      <c r="H37" s="217"/>
      <c r="I37" s="219"/>
      <c r="J37" s="643">
        <f>'C6-FinPos'!G25</f>
        <v>1856188392.6479001</v>
      </c>
    </row>
    <row r="38" spans="1:10" ht="12.75" customHeight="1" x14ac:dyDescent="0.25">
      <c r="A38" s="152" t="s">
        <v>466</v>
      </c>
      <c r="B38" s="649">
        <f>'C6-FinPos'!C35</f>
        <v>326475562</v>
      </c>
      <c r="C38" s="650">
        <f>'C6-FinPos'!D35</f>
        <v>286888510.99859911</v>
      </c>
      <c r="D38" s="408">
        <f>'C6-FinPos'!E35</f>
        <v>286888510.99859911</v>
      </c>
      <c r="E38" s="408"/>
      <c r="F38" s="408">
        <f>'C6-FinPos'!F35</f>
        <v>0</v>
      </c>
      <c r="G38" s="217"/>
      <c r="H38" s="217"/>
      <c r="I38" s="219"/>
      <c r="J38" s="643">
        <f>'C6-FinPos'!G35</f>
        <v>286888510.99859911</v>
      </c>
    </row>
    <row r="39" spans="1:10" ht="12.75" customHeight="1" x14ac:dyDescent="0.25">
      <c r="A39" s="152" t="s">
        <v>465</v>
      </c>
      <c r="B39" s="649">
        <f>'C6-FinPos'!C40</f>
        <v>200760499</v>
      </c>
      <c r="C39" s="650">
        <f>'C6-FinPos'!D40</f>
        <v>199721163.9344759</v>
      </c>
      <c r="D39" s="408">
        <f>'C6-FinPos'!E40</f>
        <v>199721163.9344759</v>
      </c>
      <c r="E39" s="408"/>
      <c r="F39" s="408">
        <f>'C6-FinPos'!F40</f>
        <v>0</v>
      </c>
      <c r="G39" s="217"/>
      <c r="H39" s="217"/>
      <c r="I39" s="219"/>
      <c r="J39" s="643">
        <f>'C6-FinPos'!G40</f>
        <v>199721163.9344759</v>
      </c>
    </row>
    <row r="40" spans="1:10" ht="12.75" customHeight="1" x14ac:dyDescent="0.25">
      <c r="A40" s="152" t="s">
        <v>142</v>
      </c>
      <c r="B40" s="666">
        <f>'C6-FinPos'!C48</f>
        <v>1593544234</v>
      </c>
      <c r="C40" s="667">
        <f>'C6-FinPos'!D48</f>
        <v>1835636330.9196253</v>
      </c>
      <c r="D40" s="638">
        <f>'C6-FinPos'!E48</f>
        <v>1913258510.9196301</v>
      </c>
      <c r="E40" s="408"/>
      <c r="F40" s="638">
        <f>'C6-FinPos'!F48</f>
        <v>0</v>
      </c>
      <c r="G40" s="596"/>
      <c r="H40" s="596"/>
      <c r="I40" s="597"/>
      <c r="J40" s="642">
        <f>'C6-FinPos'!G48</f>
        <v>1835636330.9196253</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657</v>
      </c>
      <c r="B43" s="649">
        <f>'C7-CFlow'!C18</f>
        <v>171826861.68000007</v>
      </c>
      <c r="C43" s="650">
        <f>'C7-CFlow'!D18</f>
        <v>138294916.63000011</v>
      </c>
      <c r="D43" s="408">
        <f>'C7-CFlow'!E18</f>
        <v>191725180.63000011</v>
      </c>
      <c r="E43" s="408">
        <f>'C7-CFlow'!F18</f>
        <v>-6122733.4399999976</v>
      </c>
      <c r="F43" s="408">
        <f>'C7-CFlow'!G18</f>
        <v>15385799.897514701</v>
      </c>
      <c r="G43" s="651">
        <f>'C7-CFlow'!H18</f>
        <v>59746395.612463653</v>
      </c>
      <c r="H43" s="408">
        <f>G43-F43</f>
        <v>44360595.714948952</v>
      </c>
      <c r="I43" s="207">
        <f>IF(H43=0,"",H43/G43)</f>
        <v>0.74248153817826157</v>
      </c>
      <c r="J43" s="643">
        <f>'C7-CFlow'!K18</f>
        <v>138294916.63000011</v>
      </c>
    </row>
    <row r="44" spans="1:10" ht="12.75" customHeight="1" x14ac:dyDescent="0.25">
      <c r="A44" s="152" t="s">
        <v>658</v>
      </c>
      <c r="B44" s="649">
        <f>'C7-CFlow'!C28</f>
        <v>-171648201</v>
      </c>
      <c r="C44" s="650">
        <f>'C7-CFlow'!D28</f>
        <v>-138296311.15310001</v>
      </c>
      <c r="D44" s="408">
        <f>'C7-CFlow'!E28</f>
        <v>-144679311.15310001</v>
      </c>
      <c r="E44" s="408">
        <f>'C7-CFlow'!F28</f>
        <v>-4790238.71</v>
      </c>
      <c r="F44" s="408">
        <f>'C7-CFlow'!G28</f>
        <v>-35451330.100000001</v>
      </c>
      <c r="G44" s="651">
        <f>'C7-CFlow'!H28</f>
        <v>-16271963.646883801</v>
      </c>
      <c r="H44" s="408">
        <f>G44-F44</f>
        <v>19179366.453116201</v>
      </c>
      <c r="I44" s="207">
        <f>IF(H44=0,"",H44/G44)</f>
        <v>-1.1786755962172513</v>
      </c>
      <c r="J44" s="643">
        <f>'C7-CFlow'!K28</f>
        <v>-138296311.15310001</v>
      </c>
    </row>
    <row r="45" spans="1:10" ht="12.75" customHeight="1" x14ac:dyDescent="0.25">
      <c r="A45" s="152" t="s">
        <v>656</v>
      </c>
      <c r="B45" s="649">
        <f>'C7-CFlow'!C37</f>
        <v>34363685</v>
      </c>
      <c r="C45" s="650">
        <f>'C7-CFlow'!D37</f>
        <v>-4215227.7100000009</v>
      </c>
      <c r="D45" s="408">
        <f>'C7-CFlow'!E37</f>
        <v>-4215227.7100000009</v>
      </c>
      <c r="E45" s="408">
        <f>'C7-CFlow'!F37</f>
        <v>4808087</v>
      </c>
      <c r="F45" s="408">
        <f>'C7-CFlow'!G37</f>
        <v>4381147.1899999995</v>
      </c>
      <c r="G45" s="651">
        <f>'C7-CFlow'!H37</f>
        <v>-882271.76461477473</v>
      </c>
      <c r="H45" s="408">
        <f>G45-F45</f>
        <v>-5263418.9546147743</v>
      </c>
      <c r="I45" s="207">
        <f>IF(H45=0,"",H45/G45)</f>
        <v>5.9657569988232986</v>
      </c>
      <c r="J45" s="643">
        <f>'C7-CFlow'!K37</f>
        <v>-4215227.7100000009</v>
      </c>
    </row>
    <row r="46" spans="1:10" ht="12.75" customHeight="1" x14ac:dyDescent="0.25">
      <c r="A46" s="153" t="s">
        <v>54</v>
      </c>
      <c r="B46" s="666">
        <f>'C7-CFlow'!C41</f>
        <v>42033010.680000067</v>
      </c>
      <c r="C46" s="667">
        <f>'C7-CFlow'!D41</f>
        <v>7240867.7669000998</v>
      </c>
      <c r="D46" s="638">
        <f>'C7-CFlow'!E41</f>
        <v>84863652.766900092</v>
      </c>
      <c r="E46" s="638">
        <f>'C7-CFlow'!F41</f>
        <v>0</v>
      </c>
      <c r="F46" s="638">
        <f>'C7-CFlow'!G41</f>
        <v>26348627.987514697</v>
      </c>
      <c r="G46" s="668">
        <f>'C7-CFlow'!H41</f>
        <v>84625171.200965077</v>
      </c>
      <c r="H46" s="638">
        <f>G46-F46</f>
        <v>58276543.21345038</v>
      </c>
      <c r="I46" s="206">
        <f>IF(H46=0,"",H46/G46)</f>
        <v>0.68864313520922937</v>
      </c>
      <c r="J46" s="642">
        <f>'C7-CFlow'!K41</f>
        <v>37816388.7669001</v>
      </c>
    </row>
    <row r="47" spans="1:10" ht="5.0999999999999996" customHeight="1" x14ac:dyDescent="0.25">
      <c r="A47" s="177"/>
      <c r="B47" s="209"/>
      <c r="C47" s="210"/>
      <c r="D47" s="32"/>
      <c r="E47" s="32"/>
      <c r="F47" s="32"/>
      <c r="G47" s="32"/>
      <c r="H47" s="32"/>
      <c r="I47" s="211"/>
      <c r="J47" s="212"/>
    </row>
    <row r="48" spans="1:10" ht="25.5" customHeight="1" x14ac:dyDescent="0.25">
      <c r="A48" s="158" t="s">
        <v>943</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63007254.579999983</v>
      </c>
      <c r="C50" s="650">
        <f>'SC3'!D14</f>
        <v>22044302.580000002</v>
      </c>
      <c r="D50" s="408">
        <f>'SC3'!E14</f>
        <v>23430435.810000002</v>
      </c>
      <c r="E50" s="408">
        <f>'SC3'!F14</f>
        <v>13884810.210000001</v>
      </c>
      <c r="F50" s="408">
        <f>'SC3'!G14</f>
        <v>557594611.64999998</v>
      </c>
      <c r="G50" s="651">
        <f>'SC3'!H14</f>
        <v>0</v>
      </c>
      <c r="H50" s="408">
        <f>'SC3'!I14</f>
        <v>0</v>
      </c>
      <c r="I50" s="651">
        <f>'SC3'!J14</f>
        <v>0</v>
      </c>
      <c r="J50" s="643">
        <f>'SC3'!K14</f>
        <v>679961414.82999992</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1159945.68</v>
      </c>
      <c r="C52" s="650">
        <f>'SC4'!D15</f>
        <v>1608.2</v>
      </c>
      <c r="D52" s="408">
        <f>'SC4'!E15</f>
        <v>369695.1</v>
      </c>
      <c r="E52" s="408">
        <f>'SC4'!F15</f>
        <v>0</v>
      </c>
      <c r="F52" s="408">
        <f>'SC4'!G15</f>
        <v>162097.1</v>
      </c>
      <c r="G52" s="651">
        <f>'SC4'!H15</f>
        <v>957284.43</v>
      </c>
      <c r="H52" s="408">
        <f>'SC4'!I15</f>
        <v>0</v>
      </c>
      <c r="I52" s="651">
        <f>'SC4'!J15</f>
        <v>0</v>
      </c>
      <c r="J52" s="643">
        <f>'SC4'!K15</f>
        <v>2650630.5100000002</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6"/>
      <c r="B55" s="1016"/>
      <c r="C55" s="1016"/>
      <c r="D55" s="1016"/>
      <c r="E55" s="1016"/>
      <c r="F55" s="1016"/>
      <c r="G55" s="1016"/>
      <c r="H55" s="1016"/>
      <c r="I55" s="1016"/>
      <c r="J55" s="1016"/>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5"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5" activePane="bottomRight" state="frozen"/>
      <selection pane="topRight"/>
      <selection pane="bottomLeft"/>
      <selection pane="bottomRight" activeCell="H41" sqref="H41"/>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6" t="str">
        <f>muni&amp; " - "&amp;S71A&amp; " - "&amp;date</f>
        <v>LIM333 Greater Tzaneen - Table C2 Consolidated Monthly Budget Statement - Financial Performance (functional classification)  - M06 December</v>
      </c>
      <c r="B1" s="1026"/>
      <c r="C1" s="1026"/>
      <c r="D1" s="1026"/>
      <c r="E1" s="1026"/>
      <c r="F1" s="1026"/>
      <c r="G1" s="1026"/>
      <c r="H1" s="1026"/>
      <c r="I1" s="1026"/>
      <c r="J1" s="1026"/>
      <c r="K1" s="1026"/>
    </row>
    <row r="2" spans="1:18" x14ac:dyDescent="0.25">
      <c r="A2" s="1024" t="str">
        <f>desc</f>
        <v>Description</v>
      </c>
      <c r="B2" s="1022" t="str">
        <f>head27</f>
        <v>Ref</v>
      </c>
      <c r="C2" s="24" t="str">
        <f>Head1</f>
        <v>2018/19</v>
      </c>
      <c r="D2" s="231" t="str">
        <f>Head2</f>
        <v>Budget Year 2019/20</v>
      </c>
      <c r="E2" s="229"/>
      <c r="F2" s="229"/>
      <c r="G2" s="229"/>
      <c r="H2" s="229"/>
      <c r="I2" s="229"/>
      <c r="J2" s="229"/>
      <c r="K2" s="230"/>
    </row>
    <row r="3" spans="1:18"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676</v>
      </c>
      <c r="B4" s="425">
        <v>1</v>
      </c>
      <c r="C4" s="423"/>
      <c r="D4" s="240"/>
      <c r="E4" s="241"/>
      <c r="F4" s="82"/>
      <c r="G4" s="82"/>
      <c r="H4" s="82"/>
      <c r="I4" s="82"/>
      <c r="J4" s="242" t="s">
        <v>583</v>
      </c>
      <c r="K4" s="223"/>
    </row>
    <row r="5" spans="1:18" ht="12.75" customHeight="1" x14ac:dyDescent="0.25">
      <c r="A5" s="35" t="s">
        <v>1145</v>
      </c>
      <c r="B5" s="426"/>
      <c r="C5" s="226"/>
      <c r="D5" s="432"/>
      <c r="E5" s="238"/>
      <c r="F5" s="238"/>
      <c r="G5" s="238"/>
      <c r="H5" s="238"/>
      <c r="I5" s="238"/>
      <c r="J5" s="238"/>
      <c r="K5" s="239"/>
      <c r="L5" s="100"/>
    </row>
    <row r="6" spans="1:18" ht="12.75" customHeight="1" x14ac:dyDescent="0.25">
      <c r="A6" s="414" t="s">
        <v>144</v>
      </c>
      <c r="B6" s="415"/>
      <c r="C6" s="642">
        <f t="shared" ref="C6:H6" si="0">SUM(C7:C9)</f>
        <v>510994348.56999999</v>
      </c>
      <c r="D6" s="670">
        <f t="shared" si="0"/>
        <v>510038007</v>
      </c>
      <c r="E6" s="638">
        <f t="shared" si="0"/>
        <v>510977113.26999998</v>
      </c>
      <c r="F6" s="638">
        <f t="shared" si="0"/>
        <v>140822089.40000001</v>
      </c>
      <c r="G6" s="638">
        <f t="shared" si="0"/>
        <v>369723237.61000001</v>
      </c>
      <c r="H6" s="638">
        <f t="shared" si="0"/>
        <v>327707570.27999997</v>
      </c>
      <c r="I6" s="47">
        <f t="shared" ref="I6:I13" si="1">G6-H6</f>
        <v>42015667.330000043</v>
      </c>
      <c r="J6" s="200">
        <f>IF(I6=0,"",I6/H6)</f>
        <v>0.12821085364033857</v>
      </c>
      <c r="K6" s="642">
        <f>SUM(K7:K9)</f>
        <v>510037879</v>
      </c>
      <c r="L6" s="100"/>
      <c r="Q6" s="69"/>
      <c r="R6" s="70"/>
    </row>
    <row r="7" spans="1:18" ht="12.75" customHeight="1" x14ac:dyDescent="0.25">
      <c r="A7" s="416" t="s">
        <v>112</v>
      </c>
      <c r="B7" s="415"/>
      <c r="C7" s="643">
        <f>'C2C'!C7</f>
        <v>0</v>
      </c>
      <c r="D7" s="671">
        <f>'C2C'!D7</f>
        <v>1100</v>
      </c>
      <c r="E7" s="408">
        <f>'C2C'!E7</f>
        <v>1100</v>
      </c>
      <c r="F7" s="408">
        <f>'C2C'!F7</f>
        <v>0</v>
      </c>
      <c r="G7" s="408">
        <f>'C2C'!G7</f>
        <v>0</v>
      </c>
      <c r="H7" s="408">
        <f>'C2C'!H7</f>
        <v>0</v>
      </c>
      <c r="I7" s="47">
        <f t="shared" si="1"/>
        <v>0</v>
      </c>
      <c r="J7" s="200" t="str">
        <f t="shared" ref="J7:J26" si="2">IF(I7=0,"",I7/H7)</f>
        <v/>
      </c>
      <c r="K7" s="643">
        <f>'C2C'!K7</f>
        <v>1100</v>
      </c>
      <c r="L7" s="100"/>
      <c r="Q7" s="69"/>
      <c r="R7" s="70"/>
    </row>
    <row r="8" spans="1:18" ht="12.75" customHeight="1" x14ac:dyDescent="0.25">
      <c r="A8" s="416" t="s">
        <v>1132</v>
      </c>
      <c r="B8" s="415"/>
      <c r="C8" s="644">
        <f>'C2C'!C10</f>
        <v>510994348.56999999</v>
      </c>
      <c r="D8" s="672">
        <f>'C2C'!D10</f>
        <v>510036907</v>
      </c>
      <c r="E8" s="673">
        <f>'C2C'!E10</f>
        <v>510976013.26999998</v>
      </c>
      <c r="F8" s="673">
        <f>'C2C'!F10</f>
        <v>140822089.40000001</v>
      </c>
      <c r="G8" s="673">
        <f>'C2C'!G10</f>
        <v>369723237.61000001</v>
      </c>
      <c r="H8" s="673">
        <f>'C2C'!H10</f>
        <v>327707570.27999997</v>
      </c>
      <c r="I8" s="47">
        <f t="shared" si="1"/>
        <v>42015667.330000043</v>
      </c>
      <c r="J8" s="200">
        <f t="shared" si="2"/>
        <v>0.12821085364033857</v>
      </c>
      <c r="K8" s="674">
        <f>'C2C'!K10</f>
        <v>510036779</v>
      </c>
      <c r="L8" s="100"/>
      <c r="Q8" s="69"/>
      <c r="R8" s="70"/>
    </row>
    <row r="9" spans="1:18" ht="12.75" customHeight="1" x14ac:dyDescent="0.25">
      <c r="A9" s="416" t="s">
        <v>1143</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34735594</v>
      </c>
      <c r="D10" s="670">
        <f t="shared" si="3"/>
        <v>41092127</v>
      </c>
      <c r="E10" s="638">
        <f t="shared" si="3"/>
        <v>41092127</v>
      </c>
      <c r="F10" s="638">
        <f t="shared" si="3"/>
        <v>298347.93999999994</v>
      </c>
      <c r="G10" s="638">
        <f t="shared" si="3"/>
        <v>1936004</v>
      </c>
      <c r="H10" s="638">
        <f t="shared" si="3"/>
        <v>3591297.84</v>
      </c>
      <c r="I10" s="47">
        <f t="shared" si="1"/>
        <v>-1655293.8399999999</v>
      </c>
      <c r="J10" s="200">
        <f t="shared" si="2"/>
        <v>-0.46091800617684214</v>
      </c>
      <c r="K10" s="642">
        <f>SUM(K11:K15)</f>
        <v>41092127</v>
      </c>
      <c r="L10" s="100"/>
      <c r="Q10" s="69"/>
      <c r="R10" s="70"/>
    </row>
    <row r="11" spans="1:18" ht="12.75" customHeight="1" x14ac:dyDescent="0.25">
      <c r="A11" s="416" t="s">
        <v>114</v>
      </c>
      <c r="B11" s="415"/>
      <c r="C11" s="643">
        <f>'C2C'!C27</f>
        <v>37723</v>
      </c>
      <c r="D11" s="671">
        <f>'C2C'!D27</f>
        <v>56136</v>
      </c>
      <c r="E11" s="408">
        <f>'C2C'!E27</f>
        <v>56136</v>
      </c>
      <c r="F11" s="408">
        <f>'C2C'!F27</f>
        <v>4700</v>
      </c>
      <c r="G11" s="408">
        <f>'C2C'!G27</f>
        <v>20206</v>
      </c>
      <c r="H11" s="408">
        <f>'C2C'!H27</f>
        <v>17111</v>
      </c>
      <c r="I11" s="47">
        <f t="shared" si="1"/>
        <v>3095</v>
      </c>
      <c r="J11" s="200">
        <f t="shared" si="2"/>
        <v>0.18087779790777861</v>
      </c>
      <c r="K11" s="643">
        <f>'C2C'!K27</f>
        <v>56136</v>
      </c>
      <c r="L11" s="100"/>
      <c r="Q11" s="69"/>
      <c r="R11" s="70"/>
    </row>
    <row r="12" spans="1:18" ht="12.75" customHeight="1" x14ac:dyDescent="0.25">
      <c r="A12" s="416" t="s">
        <v>115</v>
      </c>
      <c r="B12" s="415"/>
      <c r="C12" s="643">
        <f>'C2C'!C49</f>
        <v>124948</v>
      </c>
      <c r="D12" s="671">
        <f>'C2C'!D49</f>
        <v>560766</v>
      </c>
      <c r="E12" s="408">
        <f>'C2C'!E49</f>
        <v>560766</v>
      </c>
      <c r="F12" s="408">
        <f>'C2C'!F49</f>
        <v>25198</v>
      </c>
      <c r="G12" s="408">
        <f>'C2C'!G49</f>
        <v>118301.41</v>
      </c>
      <c r="H12" s="408">
        <f>'C2C'!H49</f>
        <v>68956</v>
      </c>
      <c r="I12" s="47">
        <f t="shared" si="1"/>
        <v>49345.41</v>
      </c>
      <c r="J12" s="200">
        <f t="shared" si="2"/>
        <v>0.7156071987934336</v>
      </c>
      <c r="K12" s="643">
        <f>'C2C'!K49</f>
        <v>560766</v>
      </c>
      <c r="L12" s="100"/>
      <c r="Q12" s="69"/>
      <c r="R12" s="70"/>
    </row>
    <row r="13" spans="1:18" ht="12.75" customHeight="1" x14ac:dyDescent="0.25">
      <c r="A13" s="416" t="s">
        <v>116</v>
      </c>
      <c r="B13" s="415"/>
      <c r="C13" s="643">
        <f>'C2C'!C55</f>
        <v>31635630</v>
      </c>
      <c r="D13" s="671">
        <f>'C2C'!D55</f>
        <v>38001000</v>
      </c>
      <c r="E13" s="408">
        <f>'C2C'!E55</f>
        <v>38001000</v>
      </c>
      <c r="F13" s="408">
        <f>'C2C'!F55</f>
        <v>118800</v>
      </c>
      <c r="G13" s="408">
        <f>'C2C'!G55</f>
        <v>794170</v>
      </c>
      <c r="H13" s="408">
        <f>'C2C'!H55</f>
        <v>1945645.52</v>
      </c>
      <c r="I13" s="47">
        <f t="shared" si="1"/>
        <v>-1151475.52</v>
      </c>
      <c r="J13" s="200">
        <f t="shared" si="2"/>
        <v>-0.59182184429977769</v>
      </c>
      <c r="K13" s="643">
        <f>'C2C'!K55</f>
        <v>38001000</v>
      </c>
      <c r="L13" s="100"/>
      <c r="Q13" s="69"/>
      <c r="R13" s="70"/>
    </row>
    <row r="14" spans="1:18" ht="12.75" customHeight="1" x14ac:dyDescent="0.25">
      <c r="A14" s="416" t="s">
        <v>722</v>
      </c>
      <c r="B14" s="415"/>
      <c r="C14" s="643">
        <f>'C2C'!C64</f>
        <v>2724294</v>
      </c>
      <c r="D14" s="671">
        <f>'C2C'!D64</f>
        <v>2461225</v>
      </c>
      <c r="E14" s="408">
        <f>'C2C'!E64</f>
        <v>2461225</v>
      </c>
      <c r="F14" s="408">
        <f>'C2C'!F64</f>
        <v>148583.09</v>
      </c>
      <c r="G14" s="408">
        <f>'C2C'!G64</f>
        <v>996925.49</v>
      </c>
      <c r="H14" s="408">
        <f>'C2C'!H64</f>
        <v>1556384.77</v>
      </c>
      <c r="I14" s="47">
        <f t="shared" ref="I14:I19" si="4">G14-H14</f>
        <v>-559459.28</v>
      </c>
      <c r="J14" s="200">
        <f t="shared" ref="J14:J19" si="5">IF(I14=0,"",I14/H14)</f>
        <v>-0.35946077781267421</v>
      </c>
      <c r="K14" s="643">
        <f>'C2C'!K64</f>
        <v>2461225</v>
      </c>
      <c r="L14" s="100"/>
      <c r="Q14" s="69"/>
      <c r="R14" s="70"/>
    </row>
    <row r="15" spans="1:18" ht="12.75" customHeight="1" x14ac:dyDescent="0.25">
      <c r="A15" s="416" t="s">
        <v>619</v>
      </c>
      <c r="B15" s="415"/>
      <c r="C15" s="644">
        <f>'C2C'!C67</f>
        <v>212999</v>
      </c>
      <c r="D15" s="672">
        <f>'C2C'!D67</f>
        <v>13000</v>
      </c>
      <c r="E15" s="673">
        <f>'C2C'!E67</f>
        <v>13000</v>
      </c>
      <c r="F15" s="673">
        <f>'C2C'!F67</f>
        <v>1066.8499999999999</v>
      </c>
      <c r="G15" s="673">
        <f>'C2C'!G67</f>
        <v>6401.1</v>
      </c>
      <c r="H15" s="673">
        <f>'C2C'!H67</f>
        <v>3200.55</v>
      </c>
      <c r="I15" s="47">
        <f t="shared" si="4"/>
        <v>3200.55</v>
      </c>
      <c r="J15" s="200">
        <f t="shared" si="5"/>
        <v>1</v>
      </c>
      <c r="K15" s="674">
        <f>'C2C'!K67</f>
        <v>13000</v>
      </c>
      <c r="L15" s="100"/>
      <c r="Q15" s="69"/>
      <c r="R15" s="70"/>
    </row>
    <row r="16" spans="1:18" ht="12.75" customHeight="1" x14ac:dyDescent="0.25">
      <c r="A16" s="414" t="s">
        <v>117</v>
      </c>
      <c r="B16" s="417"/>
      <c r="C16" s="642">
        <f t="shared" ref="C16:H16" si="6">SUM(C17:C19)</f>
        <v>91410007</v>
      </c>
      <c r="D16" s="670">
        <f t="shared" si="6"/>
        <v>148244516</v>
      </c>
      <c r="E16" s="638">
        <f t="shared" si="6"/>
        <v>148244516</v>
      </c>
      <c r="F16" s="638">
        <f t="shared" si="6"/>
        <v>5889266.6299999999</v>
      </c>
      <c r="G16" s="638">
        <f t="shared" si="6"/>
        <v>97858580.569999993</v>
      </c>
      <c r="H16" s="638">
        <f t="shared" si="6"/>
        <v>106895075.01000001</v>
      </c>
      <c r="I16" s="47">
        <f t="shared" si="4"/>
        <v>-9036494.4400000125</v>
      </c>
      <c r="J16" s="200">
        <f t="shared" si="5"/>
        <v>-8.4536115804723935E-2</v>
      </c>
      <c r="K16" s="642">
        <f>SUM(K17:K19)</f>
        <v>148244516</v>
      </c>
      <c r="L16" s="100"/>
      <c r="Q16" s="69"/>
      <c r="R16" s="70"/>
    </row>
    <row r="17" spans="1:18" ht="12.75" customHeight="1" x14ac:dyDescent="0.25">
      <c r="A17" s="416" t="s">
        <v>118</v>
      </c>
      <c r="B17" s="415"/>
      <c r="C17" s="643">
        <f>'C2C'!C76</f>
        <v>233505</v>
      </c>
      <c r="D17" s="671">
        <f>'C2C'!D76</f>
        <v>300125</v>
      </c>
      <c r="E17" s="408">
        <f>'C2C'!E76</f>
        <v>300125</v>
      </c>
      <c r="F17" s="408">
        <f>'C2C'!F76</f>
        <v>15612.24</v>
      </c>
      <c r="G17" s="408">
        <f>'C2C'!G76</f>
        <v>145347.24</v>
      </c>
      <c r="H17" s="408">
        <f>'C2C'!H76</f>
        <v>128350</v>
      </c>
      <c r="I17" s="47">
        <f t="shared" si="4"/>
        <v>16997.239999999991</v>
      </c>
      <c r="J17" s="200">
        <f t="shared" si="5"/>
        <v>0.13242882742500967</v>
      </c>
      <c r="K17" s="643">
        <f>'C2C'!K76</f>
        <v>300125</v>
      </c>
      <c r="L17" s="100"/>
      <c r="Q17" s="69"/>
      <c r="R17" s="70"/>
    </row>
    <row r="18" spans="1:18" ht="12.75" customHeight="1" x14ac:dyDescent="0.25">
      <c r="A18" s="416" t="s">
        <v>119</v>
      </c>
      <c r="B18" s="415"/>
      <c r="C18" s="643">
        <f>'C2C'!C87</f>
        <v>91176502</v>
      </c>
      <c r="D18" s="671">
        <f>'C2C'!D87</f>
        <v>147944391</v>
      </c>
      <c r="E18" s="408">
        <f>'C2C'!E87</f>
        <v>147944391</v>
      </c>
      <c r="F18" s="408">
        <f>'C2C'!F87</f>
        <v>5873654.3899999997</v>
      </c>
      <c r="G18" s="408">
        <f>'C2C'!G87</f>
        <v>97713233.329999998</v>
      </c>
      <c r="H18" s="408">
        <f>'C2C'!H87</f>
        <v>106766725.01000001</v>
      </c>
      <c r="I18" s="47">
        <f t="shared" si="4"/>
        <v>-9053491.6800000072</v>
      </c>
      <c r="J18" s="200">
        <f t="shared" si="5"/>
        <v>-8.4796940986548358E-2</v>
      </c>
      <c r="K18" s="643">
        <f>'C2C'!K87</f>
        <v>147944391</v>
      </c>
      <c r="L18" s="100"/>
      <c r="Q18" s="69"/>
      <c r="R18" s="70"/>
    </row>
    <row r="19" spans="1:18" ht="12.75" customHeight="1" x14ac:dyDescent="0.25">
      <c r="A19" s="416" t="s">
        <v>120</v>
      </c>
      <c r="B19" s="415"/>
      <c r="C19" s="643">
        <f>'C2C'!C92</f>
        <v>0</v>
      </c>
      <c r="D19" s="671">
        <f>'C2C'!D92</f>
        <v>0</v>
      </c>
      <c r="E19" s="408">
        <f>'C2C'!E92</f>
        <v>0</v>
      </c>
      <c r="F19" s="408">
        <f>'C2C'!F92</f>
        <v>0</v>
      </c>
      <c r="G19" s="408">
        <f>'C2C'!G92</f>
        <v>0</v>
      </c>
      <c r="H19" s="408">
        <f>'C2C'!H92</f>
        <v>0</v>
      </c>
      <c r="I19" s="47">
        <f t="shared" si="4"/>
        <v>0</v>
      </c>
      <c r="J19" s="200" t="str">
        <f t="shared" si="5"/>
        <v/>
      </c>
      <c r="K19" s="643">
        <f>'C2C'!K92</f>
        <v>0</v>
      </c>
      <c r="L19" s="100"/>
      <c r="Q19" s="69"/>
      <c r="R19" s="70"/>
    </row>
    <row r="20" spans="1:18" ht="12.75" customHeight="1" x14ac:dyDescent="0.25">
      <c r="A20" s="414" t="s">
        <v>121</v>
      </c>
      <c r="B20" s="417"/>
      <c r="C20" s="642">
        <f>SUM(C21:C24)</f>
        <v>498213465</v>
      </c>
      <c r="D20" s="670">
        <f t="shared" ref="D20:I20" si="7">SUM(D21:D24)</f>
        <v>659801657</v>
      </c>
      <c r="E20" s="638">
        <f t="shared" si="7"/>
        <v>652899656.99999499</v>
      </c>
      <c r="F20" s="638">
        <f t="shared" si="7"/>
        <v>40282670.700000003</v>
      </c>
      <c r="G20" s="638">
        <f t="shared" si="7"/>
        <v>327152582.23000002</v>
      </c>
      <c r="H20" s="638">
        <f t="shared" si="7"/>
        <v>302978608.27000004</v>
      </c>
      <c r="I20" s="47">
        <f t="shared" si="7"/>
        <v>24173973.959999979</v>
      </c>
      <c r="J20" s="200">
        <f t="shared" si="2"/>
        <v>7.9787725272199045E-2</v>
      </c>
      <c r="K20" s="642">
        <f>SUM(K21:K24)</f>
        <v>659801657</v>
      </c>
      <c r="L20" s="100"/>
      <c r="Q20" s="69"/>
      <c r="R20" s="70"/>
    </row>
    <row r="21" spans="1:18" ht="12.75" customHeight="1" x14ac:dyDescent="0.25">
      <c r="A21" s="416" t="s">
        <v>1200</v>
      </c>
      <c r="B21" s="415"/>
      <c r="C21" s="643">
        <f>'C2C'!C100</f>
        <v>459468534</v>
      </c>
      <c r="D21" s="671">
        <f>'C2C'!D100</f>
        <v>597331000</v>
      </c>
      <c r="E21" s="408">
        <f>'C2C'!E100</f>
        <v>590428999.99999499</v>
      </c>
      <c r="F21" s="408">
        <f>'C2C'!F100</f>
        <v>37511115.810000002</v>
      </c>
      <c r="G21" s="408">
        <f>'C2C'!G100</f>
        <v>306007804.49000001</v>
      </c>
      <c r="H21" s="408">
        <f>'C2C'!H100</f>
        <v>282161766.47000003</v>
      </c>
      <c r="I21" s="47">
        <f>G21-H21</f>
        <v>23846038.019999981</v>
      </c>
      <c r="J21" s="200">
        <f t="shared" si="2"/>
        <v>8.4511939084898444E-2</v>
      </c>
      <c r="K21" s="643">
        <f>'C2C'!K100</f>
        <v>597331000</v>
      </c>
      <c r="L21" s="100"/>
      <c r="Q21" s="69"/>
      <c r="R21" s="70"/>
    </row>
    <row r="22" spans="1:18" ht="12.75" customHeight="1" x14ac:dyDescent="0.25">
      <c r="A22" s="416" t="s">
        <v>1204</v>
      </c>
      <c r="B22" s="415"/>
      <c r="C22" s="643">
        <f>'C2C'!C104</f>
        <v>0</v>
      </c>
      <c r="D22" s="671">
        <f>'C2C'!D104</f>
        <v>0</v>
      </c>
      <c r="E22" s="408">
        <f>'C2C'!E104</f>
        <v>0</v>
      </c>
      <c r="F22" s="408">
        <f>'C2C'!F104</f>
        <v>0</v>
      </c>
      <c r="G22" s="408">
        <f>'C2C'!G104</f>
        <v>0</v>
      </c>
      <c r="H22" s="408">
        <f>'C2C'!H104</f>
        <v>0</v>
      </c>
      <c r="I22" s="47">
        <f>G22-H22</f>
        <v>0</v>
      </c>
      <c r="J22" s="200" t="str">
        <f t="shared" si="2"/>
        <v/>
      </c>
      <c r="K22" s="643">
        <f>'C2C'!K104</f>
        <v>0</v>
      </c>
      <c r="L22" s="100"/>
      <c r="Q22" s="69"/>
      <c r="R22" s="70"/>
    </row>
    <row r="23" spans="1:18" ht="12.75" customHeight="1" x14ac:dyDescent="0.25">
      <c r="A23" s="416" t="s">
        <v>122</v>
      </c>
      <c r="B23" s="415"/>
      <c r="C23" s="644">
        <f>'C2C'!C108</f>
        <v>0</v>
      </c>
      <c r="D23" s="672">
        <f>'C2C'!D108</f>
        <v>0</v>
      </c>
      <c r="E23" s="673">
        <f>'C2C'!E108</f>
        <v>0</v>
      </c>
      <c r="F23" s="673">
        <f>'C2C'!F108</f>
        <v>0</v>
      </c>
      <c r="G23" s="673">
        <f>'C2C'!G108</f>
        <v>0</v>
      </c>
      <c r="H23" s="673">
        <f>'C2C'!H108</f>
        <v>0</v>
      </c>
      <c r="I23" s="47">
        <f>G23-H23</f>
        <v>0</v>
      </c>
      <c r="J23" s="200" t="str">
        <f t="shared" si="2"/>
        <v/>
      </c>
      <c r="K23" s="674">
        <f>'C2C'!K108</f>
        <v>0</v>
      </c>
      <c r="L23" s="100"/>
      <c r="Q23" s="69"/>
      <c r="R23" s="70"/>
    </row>
    <row r="24" spans="1:18" ht="12.75" customHeight="1" x14ac:dyDescent="0.25">
      <c r="A24" s="416" t="s">
        <v>123</v>
      </c>
      <c r="B24" s="415"/>
      <c r="C24" s="643">
        <f>'C2C'!C113</f>
        <v>38744931</v>
      </c>
      <c r="D24" s="671">
        <f>'C2C'!D113</f>
        <v>62470657</v>
      </c>
      <c r="E24" s="408">
        <f>'C2C'!E113</f>
        <v>62470657</v>
      </c>
      <c r="F24" s="408">
        <f>'C2C'!F113</f>
        <v>2771554.89</v>
      </c>
      <c r="G24" s="408">
        <f>'C2C'!G113</f>
        <v>21144777.739999998</v>
      </c>
      <c r="H24" s="408">
        <f>'C2C'!H113</f>
        <v>20816841.800000001</v>
      </c>
      <c r="I24" s="47">
        <f>G24-H24</f>
        <v>327935.93999999762</v>
      </c>
      <c r="J24" s="200">
        <f t="shared" si="2"/>
        <v>1.5753395406982323E-2</v>
      </c>
      <c r="K24" s="643">
        <f>'C2C'!K113</f>
        <v>62470657</v>
      </c>
      <c r="L24" s="100"/>
      <c r="Q24" s="69"/>
      <c r="R24" s="70"/>
    </row>
    <row r="25" spans="1:18" ht="12.75" customHeight="1" x14ac:dyDescent="0.25">
      <c r="A25" s="414" t="s">
        <v>729</v>
      </c>
      <c r="B25" s="417">
        <v>4</v>
      </c>
      <c r="C25" s="642">
        <f>'C2C'!C118</f>
        <v>0</v>
      </c>
      <c r="D25" s="670">
        <f>'C2C'!D118</f>
        <v>0</v>
      </c>
      <c r="E25" s="638">
        <f>'C2C'!E118</f>
        <v>0</v>
      </c>
      <c r="F25" s="638">
        <f>'C2C'!F118</f>
        <v>0</v>
      </c>
      <c r="G25" s="638">
        <f>'C2C'!G118</f>
        <v>0</v>
      </c>
      <c r="H25" s="638">
        <f>'C2C'!H118</f>
        <v>0</v>
      </c>
      <c r="I25" s="102">
        <f>G25-H25</f>
        <v>0</v>
      </c>
      <c r="J25" s="714" t="str">
        <f t="shared" si="2"/>
        <v/>
      </c>
      <c r="K25" s="642">
        <f>'C2C'!K118</f>
        <v>0</v>
      </c>
      <c r="L25" s="100"/>
      <c r="Q25" s="69"/>
      <c r="R25" s="70"/>
    </row>
    <row r="26" spans="1:18" ht="12.75" customHeight="1" x14ac:dyDescent="0.25">
      <c r="A26" s="92" t="s">
        <v>1217</v>
      </c>
      <c r="B26" s="586">
        <v>2</v>
      </c>
      <c r="C26" s="645">
        <f>C6+C10+C16+C20+C25</f>
        <v>1135353414.5699999</v>
      </c>
      <c r="D26" s="599">
        <f t="shared" ref="D26:I26" si="8">D6+D10+D16+D20+D25</f>
        <v>1359176307</v>
      </c>
      <c r="E26" s="546">
        <f t="shared" si="8"/>
        <v>1353213413.269995</v>
      </c>
      <c r="F26" s="546">
        <f t="shared" si="8"/>
        <v>187292374.67000002</v>
      </c>
      <c r="G26" s="546">
        <f t="shared" si="8"/>
        <v>796670404.41000009</v>
      </c>
      <c r="H26" s="546">
        <f t="shared" si="8"/>
        <v>741172551.39999998</v>
      </c>
      <c r="I26" s="546">
        <f t="shared" si="8"/>
        <v>55497853.010000005</v>
      </c>
      <c r="J26" s="600">
        <f t="shared" si="2"/>
        <v>7.4878451590213613E-2</v>
      </c>
      <c r="K26" s="598">
        <f>K6+K10+K16+K20+K25</f>
        <v>1359176179</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1213</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312355428.33000004</v>
      </c>
      <c r="D29" s="670">
        <f t="shared" si="9"/>
        <v>288608919.03999996</v>
      </c>
      <c r="E29" s="638">
        <f t="shared" si="9"/>
        <v>266187849.24000001</v>
      </c>
      <c r="F29" s="638">
        <f t="shared" si="9"/>
        <v>26849726.629999999</v>
      </c>
      <c r="G29" s="638">
        <f t="shared" si="9"/>
        <v>123004977.16999999</v>
      </c>
      <c r="H29" s="638">
        <f t="shared" si="9"/>
        <v>110655440.22</v>
      </c>
      <c r="I29" s="47">
        <f t="shared" ref="I29:I48" si="10">G29-H29</f>
        <v>12349536.949999988</v>
      </c>
      <c r="J29" s="200">
        <f>IF(I29=0,"",I29/H29)</f>
        <v>0.11160352284033405</v>
      </c>
      <c r="K29" s="642">
        <f>SUM(K30:K32)</f>
        <v>288608919.03999996</v>
      </c>
      <c r="L29" s="100"/>
      <c r="Q29" s="69"/>
    </row>
    <row r="30" spans="1:18" ht="12.75" customHeight="1" x14ac:dyDescent="0.25">
      <c r="A30" s="416" t="s">
        <v>112</v>
      </c>
      <c r="B30" s="428"/>
      <c r="C30" s="643">
        <f>'C2C'!C129</f>
        <v>39479040.049999997</v>
      </c>
      <c r="D30" s="671">
        <f>'C2C'!D129</f>
        <v>45329387</v>
      </c>
      <c r="E30" s="408">
        <f>'C2C'!E129</f>
        <v>41937927.629999995</v>
      </c>
      <c r="F30" s="408">
        <f>'C2C'!F129</f>
        <v>3066771.7800000003</v>
      </c>
      <c r="G30" s="408">
        <f>'C2C'!G129</f>
        <v>19368391.509999998</v>
      </c>
      <c r="H30" s="408">
        <f>'C2C'!H129</f>
        <v>18134481.870000001</v>
      </c>
      <c r="I30" s="47">
        <f t="shared" si="10"/>
        <v>1233909.6399999969</v>
      </c>
      <c r="J30" s="200">
        <f t="shared" ref="J30:J49" si="11">IF(I30=0,"",I30/H30)</f>
        <v>6.8042177816023633E-2</v>
      </c>
      <c r="K30" s="643">
        <f>'C2C'!K129</f>
        <v>45329387</v>
      </c>
      <c r="L30" s="100"/>
      <c r="Q30" s="69"/>
    </row>
    <row r="31" spans="1:18" ht="12.75" customHeight="1" x14ac:dyDescent="0.25">
      <c r="A31" s="416" t="s">
        <v>1132</v>
      </c>
      <c r="B31" s="428"/>
      <c r="C31" s="644">
        <f>'C2C'!C132</f>
        <v>268538658.74000001</v>
      </c>
      <c r="D31" s="672">
        <f>'C2C'!D132</f>
        <v>237515265.03999999</v>
      </c>
      <c r="E31" s="673">
        <f>'C2C'!E132</f>
        <v>218734709.61000001</v>
      </c>
      <c r="F31" s="673">
        <f>'C2C'!F132</f>
        <v>23329487.209999997</v>
      </c>
      <c r="G31" s="673">
        <f>'C2C'!G132</f>
        <v>101145238.93999998</v>
      </c>
      <c r="H31" s="673">
        <f>'C2C'!H132</f>
        <v>90345881.329999998</v>
      </c>
      <c r="I31" s="47">
        <f t="shared" si="10"/>
        <v>10799357.609999985</v>
      </c>
      <c r="J31" s="200">
        <f t="shared" si="11"/>
        <v>0.11953348012129004</v>
      </c>
      <c r="K31" s="674">
        <f>'C2C'!K132</f>
        <v>237515265.03999999</v>
      </c>
      <c r="L31" s="100"/>
      <c r="Q31" s="69"/>
    </row>
    <row r="32" spans="1:18" ht="12.75" customHeight="1" x14ac:dyDescent="0.25">
      <c r="A32" s="416" t="s">
        <v>1143</v>
      </c>
      <c r="B32" s="428"/>
      <c r="C32" s="643">
        <f>'C2C'!C146</f>
        <v>4337729.540000001</v>
      </c>
      <c r="D32" s="671">
        <f>'C2C'!D146</f>
        <v>5764267</v>
      </c>
      <c r="E32" s="408">
        <f>'C2C'!E146</f>
        <v>5515212</v>
      </c>
      <c r="F32" s="408">
        <f>'C2C'!F146</f>
        <v>453467.63999999996</v>
      </c>
      <c r="G32" s="408">
        <f>'C2C'!G146</f>
        <v>2491346.7200000002</v>
      </c>
      <c r="H32" s="408">
        <f>'C2C'!H146</f>
        <v>2175077.02</v>
      </c>
      <c r="I32" s="47">
        <f t="shared" si="10"/>
        <v>316269.70000000019</v>
      </c>
      <c r="J32" s="200">
        <f t="shared" si="11"/>
        <v>0.14540620727076606</v>
      </c>
      <c r="K32" s="643">
        <f>'C2C'!K146</f>
        <v>5764267</v>
      </c>
      <c r="L32" s="100"/>
      <c r="Q32" s="69"/>
    </row>
    <row r="33" spans="1:17" ht="12.75" customHeight="1" x14ac:dyDescent="0.25">
      <c r="A33" s="414" t="s">
        <v>113</v>
      </c>
      <c r="B33" s="428"/>
      <c r="C33" s="642">
        <f t="shared" ref="C33:H33" si="12">SUM(C34:C38)</f>
        <v>110086623.64999999</v>
      </c>
      <c r="D33" s="670">
        <f t="shared" si="12"/>
        <v>124347604</v>
      </c>
      <c r="E33" s="638">
        <f t="shared" si="12"/>
        <v>111906251.72</v>
      </c>
      <c r="F33" s="638">
        <f t="shared" si="12"/>
        <v>6029010.9200000009</v>
      </c>
      <c r="G33" s="638">
        <f t="shared" si="12"/>
        <v>39403596.560000002</v>
      </c>
      <c r="H33" s="638">
        <f t="shared" si="12"/>
        <v>36646270.630000003</v>
      </c>
      <c r="I33" s="47">
        <f t="shared" si="10"/>
        <v>2757325.9299999997</v>
      </c>
      <c r="J33" s="200">
        <f t="shared" si="11"/>
        <v>7.5241651676903512E-2</v>
      </c>
      <c r="K33" s="642">
        <f>SUM(K34:K38)</f>
        <v>124347604</v>
      </c>
      <c r="L33" s="100"/>
      <c r="Q33" s="69"/>
    </row>
    <row r="34" spans="1:17" ht="12.75" customHeight="1" x14ac:dyDescent="0.25">
      <c r="A34" s="416" t="s">
        <v>114</v>
      </c>
      <c r="B34" s="428"/>
      <c r="C34" s="643">
        <f>'C2C'!C149</f>
        <v>11067663.879999999</v>
      </c>
      <c r="D34" s="671">
        <f>'C2C'!D149</f>
        <v>12614844</v>
      </c>
      <c r="E34" s="408">
        <f>'C2C'!E149</f>
        <v>12318705.5</v>
      </c>
      <c r="F34" s="408">
        <f>'C2C'!F149</f>
        <v>982128.24000000022</v>
      </c>
      <c r="G34" s="408">
        <f>'C2C'!G149</f>
        <v>6110884.1700000018</v>
      </c>
      <c r="H34" s="408">
        <f>'C2C'!H149</f>
        <v>6146232.4399999995</v>
      </c>
      <c r="I34" s="47">
        <f t="shared" si="10"/>
        <v>-35348.26999999769</v>
      </c>
      <c r="J34" s="200">
        <f t="shared" si="11"/>
        <v>-5.7512094352223514E-3</v>
      </c>
      <c r="K34" s="643">
        <f>'C2C'!K149</f>
        <v>12614844</v>
      </c>
      <c r="L34" s="100"/>
      <c r="Q34" s="69"/>
    </row>
    <row r="35" spans="1:17" ht="12.75" customHeight="1" x14ac:dyDescent="0.25">
      <c r="A35" s="416" t="s">
        <v>115</v>
      </c>
      <c r="B35" s="428"/>
      <c r="C35" s="643">
        <f>'C2C'!C171</f>
        <v>23016098.579999998</v>
      </c>
      <c r="D35" s="671">
        <f>'C2C'!D171</f>
        <v>27120105</v>
      </c>
      <c r="E35" s="408">
        <f>'C2C'!E171</f>
        <v>25317366</v>
      </c>
      <c r="F35" s="408">
        <f>'C2C'!F171</f>
        <v>1686660.9300000002</v>
      </c>
      <c r="G35" s="408">
        <f>'C2C'!G171</f>
        <v>11631654.900000002</v>
      </c>
      <c r="H35" s="408">
        <f>'C2C'!H171</f>
        <v>10978072.350000001</v>
      </c>
      <c r="I35" s="47">
        <f t="shared" si="10"/>
        <v>653582.55000000075</v>
      </c>
      <c r="J35" s="200">
        <f t="shared" si="11"/>
        <v>5.9535274423656047E-2</v>
      </c>
      <c r="K35" s="643">
        <f>'C2C'!K171</f>
        <v>27120105</v>
      </c>
      <c r="L35" s="100"/>
      <c r="Q35" s="69"/>
    </row>
    <row r="36" spans="1:17" ht="12.75" customHeight="1" x14ac:dyDescent="0.25">
      <c r="A36" s="416" t="s">
        <v>116</v>
      </c>
      <c r="B36" s="426"/>
      <c r="C36" s="643">
        <f>'C2C'!C177</f>
        <v>53110645</v>
      </c>
      <c r="D36" s="671">
        <f>'C2C'!D177</f>
        <v>56026008</v>
      </c>
      <c r="E36" s="408">
        <f>'C2C'!E177</f>
        <v>47159665</v>
      </c>
      <c r="F36" s="408">
        <f>'C2C'!F177</f>
        <v>1481075.1400000001</v>
      </c>
      <c r="G36" s="408">
        <f>'C2C'!G177</f>
        <v>9079263.8800000008</v>
      </c>
      <c r="H36" s="408">
        <f>'C2C'!H177</f>
        <v>8023270.6900000004</v>
      </c>
      <c r="I36" s="47">
        <f t="shared" si="10"/>
        <v>1055993.1900000004</v>
      </c>
      <c r="J36" s="200">
        <f t="shared" si="11"/>
        <v>0.13161629848986192</v>
      </c>
      <c r="K36" s="643">
        <f>'C2C'!K177</f>
        <v>56026008</v>
      </c>
      <c r="L36" s="100"/>
      <c r="Q36" s="70"/>
    </row>
    <row r="37" spans="1:17" ht="12.75" customHeight="1" x14ac:dyDescent="0.25">
      <c r="A37" s="416" t="s">
        <v>722</v>
      </c>
      <c r="B37" s="426"/>
      <c r="C37" s="643">
        <f>'C2C'!C186</f>
        <v>13788554.93</v>
      </c>
      <c r="D37" s="671">
        <f>'C2C'!D186</f>
        <v>18041702</v>
      </c>
      <c r="E37" s="408">
        <f>'C2C'!E186</f>
        <v>16939922.719999999</v>
      </c>
      <c r="F37" s="408">
        <f>'C2C'!F186</f>
        <v>1098272.8600000001</v>
      </c>
      <c r="G37" s="408">
        <f>'C2C'!G186</f>
        <v>7390066.8700000001</v>
      </c>
      <c r="H37" s="408">
        <f>'C2C'!H186</f>
        <v>6962401.9200000009</v>
      </c>
      <c r="I37" s="47">
        <f t="shared" si="10"/>
        <v>427664.94999999925</v>
      </c>
      <c r="J37" s="200">
        <f t="shared" si="11"/>
        <v>6.1424915555578725E-2</v>
      </c>
      <c r="K37" s="643">
        <f>'C2C'!K186</f>
        <v>18041702</v>
      </c>
      <c r="L37" s="100"/>
      <c r="Q37" s="70"/>
    </row>
    <row r="38" spans="1:17" ht="12.75" customHeight="1" x14ac:dyDescent="0.25">
      <c r="A38" s="416" t="s">
        <v>619</v>
      </c>
      <c r="B38" s="426"/>
      <c r="C38" s="644">
        <f>'C2C'!C189</f>
        <v>9103661.2599999998</v>
      </c>
      <c r="D38" s="672">
        <f>'C2C'!D189</f>
        <v>10544945</v>
      </c>
      <c r="E38" s="673">
        <f>'C2C'!E189</f>
        <v>10170592.5</v>
      </c>
      <c r="F38" s="673">
        <f>'C2C'!F189</f>
        <v>780873.75000000012</v>
      </c>
      <c r="G38" s="673">
        <f>'C2C'!G189</f>
        <v>5191726.74</v>
      </c>
      <c r="H38" s="673">
        <f>'C2C'!H189</f>
        <v>4536293.2300000004</v>
      </c>
      <c r="I38" s="47">
        <f t="shared" si="10"/>
        <v>655433.50999999978</v>
      </c>
      <c r="J38" s="200">
        <f t="shared" si="11"/>
        <v>0.14448658337723899</v>
      </c>
      <c r="K38" s="674">
        <f>'C2C'!K189</f>
        <v>10544945</v>
      </c>
      <c r="L38" s="100"/>
      <c r="Q38" s="70"/>
    </row>
    <row r="39" spans="1:17" ht="12.75" customHeight="1" x14ac:dyDescent="0.25">
      <c r="A39" s="414" t="s">
        <v>117</v>
      </c>
      <c r="B39" s="426"/>
      <c r="C39" s="642">
        <f t="shared" ref="C39:H39" si="13">SUM(C40:C42)</f>
        <v>177698906.73999998</v>
      </c>
      <c r="D39" s="670">
        <f t="shared" si="13"/>
        <v>218271530</v>
      </c>
      <c r="E39" s="638">
        <f t="shared" si="13"/>
        <v>201708339.57999998</v>
      </c>
      <c r="F39" s="638">
        <f t="shared" si="13"/>
        <v>14202555.389999999</v>
      </c>
      <c r="G39" s="638">
        <f t="shared" si="13"/>
        <v>80044033.189999998</v>
      </c>
      <c r="H39" s="638">
        <f t="shared" si="13"/>
        <v>72019440.989999995</v>
      </c>
      <c r="I39" s="47">
        <f t="shared" si="10"/>
        <v>8024592.200000003</v>
      </c>
      <c r="J39" s="200">
        <f t="shared" si="11"/>
        <v>0.11142258381475398</v>
      </c>
      <c r="K39" s="642">
        <f>SUM(K40:K42)</f>
        <v>218271530</v>
      </c>
      <c r="L39" s="100"/>
      <c r="Q39" s="70"/>
    </row>
    <row r="40" spans="1:17" ht="12.75" customHeight="1" x14ac:dyDescent="0.25">
      <c r="A40" s="416" t="s">
        <v>118</v>
      </c>
      <c r="B40" s="426"/>
      <c r="C40" s="643">
        <f>'C2C'!C198</f>
        <v>23180906.649999999</v>
      </c>
      <c r="D40" s="671">
        <f>'C2C'!D198</f>
        <v>28129324</v>
      </c>
      <c r="E40" s="408">
        <f>'C2C'!E198</f>
        <v>25937659</v>
      </c>
      <c r="F40" s="408">
        <f>'C2C'!F198</f>
        <v>2730427.41</v>
      </c>
      <c r="G40" s="408">
        <f>'C2C'!G198</f>
        <v>13808135.690000001</v>
      </c>
      <c r="H40" s="408">
        <f>'C2C'!H198</f>
        <v>12690800.359999999</v>
      </c>
      <c r="I40" s="47">
        <f t="shared" si="10"/>
        <v>1117335.3300000019</v>
      </c>
      <c r="J40" s="200">
        <f t="shared" si="11"/>
        <v>8.8042936481903811E-2</v>
      </c>
      <c r="K40" s="643">
        <f>'C2C'!K198</f>
        <v>28129324</v>
      </c>
      <c r="L40" s="100"/>
      <c r="Q40" s="70"/>
    </row>
    <row r="41" spans="1:17" ht="12.75" customHeight="1" x14ac:dyDescent="0.25">
      <c r="A41" s="416" t="s">
        <v>119</v>
      </c>
      <c r="B41" s="426"/>
      <c r="C41" s="643">
        <f>'C2C'!C209</f>
        <v>154518000.08999997</v>
      </c>
      <c r="D41" s="671">
        <f>'C2C'!D209</f>
        <v>190142206</v>
      </c>
      <c r="E41" s="408">
        <f>'C2C'!E209</f>
        <v>175770680.57999998</v>
      </c>
      <c r="F41" s="408">
        <f>'C2C'!F209</f>
        <v>11472127.979999999</v>
      </c>
      <c r="G41" s="408">
        <f>'C2C'!G209</f>
        <v>66235897.5</v>
      </c>
      <c r="H41" s="408">
        <f>'C2C'!H209</f>
        <v>59328640.629999995</v>
      </c>
      <c r="I41" s="47">
        <f t="shared" si="10"/>
        <v>6907256.8700000048</v>
      </c>
      <c r="J41" s="200">
        <f t="shared" si="11"/>
        <v>0.11642364963452906</v>
      </c>
      <c r="K41" s="643">
        <f>'C2C'!K209</f>
        <v>190142206</v>
      </c>
      <c r="L41" s="100"/>
      <c r="Q41" s="70"/>
    </row>
    <row r="42" spans="1:17" ht="12.75" customHeight="1" x14ac:dyDescent="0.25">
      <c r="A42" s="416" t="s">
        <v>120</v>
      </c>
      <c r="B42" s="426"/>
      <c r="C42" s="643">
        <f>'C2C'!C214</f>
        <v>0</v>
      </c>
      <c r="D42" s="671">
        <f>'C2C'!D214</f>
        <v>0</v>
      </c>
      <c r="E42" s="408">
        <f>'C2C'!E214</f>
        <v>0</v>
      </c>
      <c r="F42" s="408">
        <f>'C2C'!F214</f>
        <v>0</v>
      </c>
      <c r="G42" s="408">
        <f>'C2C'!G214</f>
        <v>0</v>
      </c>
      <c r="H42" s="408">
        <f>'C2C'!H214</f>
        <v>0</v>
      </c>
      <c r="I42" s="47">
        <f t="shared" si="10"/>
        <v>0</v>
      </c>
      <c r="J42" s="200" t="str">
        <f t="shared" si="11"/>
        <v/>
      </c>
      <c r="K42" s="643">
        <f>'C2C'!K214</f>
        <v>0</v>
      </c>
      <c r="L42" s="100"/>
      <c r="Q42" s="70"/>
    </row>
    <row r="43" spans="1:17" ht="12.75" customHeight="1" x14ac:dyDescent="0.25">
      <c r="A43" s="414" t="s">
        <v>121</v>
      </c>
      <c r="B43" s="426"/>
      <c r="C43" s="642">
        <f>SUM(C44:C47)</f>
        <v>612203714.71999991</v>
      </c>
      <c r="D43" s="670">
        <f t="shared" ref="D43:I43" si="14">SUM(D44:D47)</f>
        <v>682668925.91999996</v>
      </c>
      <c r="E43" s="638">
        <f t="shared" si="14"/>
        <v>648743192.88</v>
      </c>
      <c r="F43" s="638">
        <f t="shared" si="14"/>
        <v>101782234.09999995</v>
      </c>
      <c r="G43" s="638">
        <f t="shared" si="14"/>
        <v>261789920.22000003</v>
      </c>
      <c r="H43" s="638">
        <f t="shared" si="14"/>
        <v>225119043.88000005</v>
      </c>
      <c r="I43" s="47">
        <f t="shared" si="14"/>
        <v>36670876.339999959</v>
      </c>
      <c r="J43" s="200">
        <f t="shared" si="11"/>
        <v>0.16289548724073033</v>
      </c>
      <c r="K43" s="642">
        <f>SUM(K44:K47)</f>
        <v>682668925.91999996</v>
      </c>
      <c r="L43" s="100"/>
      <c r="Q43" s="70"/>
    </row>
    <row r="44" spans="1:17" ht="12.75" customHeight="1" x14ac:dyDescent="0.25">
      <c r="A44" s="416" t="s">
        <v>1200</v>
      </c>
      <c r="B44" s="426"/>
      <c r="C44" s="643">
        <f>'C2C'!C222</f>
        <v>515290068.2899999</v>
      </c>
      <c r="D44" s="671">
        <f>'C2C'!D222</f>
        <v>591014579</v>
      </c>
      <c r="E44" s="408">
        <f>'C2C'!E222</f>
        <v>569099023.00999999</v>
      </c>
      <c r="F44" s="408">
        <f>'C2C'!F222</f>
        <v>96044811.899999961</v>
      </c>
      <c r="G44" s="408">
        <f>'C2C'!G222</f>
        <v>225936525.90000001</v>
      </c>
      <c r="H44" s="408">
        <f>'C2C'!H222</f>
        <v>192117754.58000004</v>
      </c>
      <c r="I44" s="47">
        <f t="shared" si="10"/>
        <v>33818771.319999963</v>
      </c>
      <c r="J44" s="200">
        <f t="shared" si="11"/>
        <v>0.17603147295747432</v>
      </c>
      <c r="K44" s="643">
        <f>'C2C'!K222</f>
        <v>591014579</v>
      </c>
      <c r="L44" s="100"/>
      <c r="Q44" s="70"/>
    </row>
    <row r="45" spans="1:17" ht="12.75" customHeight="1" x14ac:dyDescent="0.25">
      <c r="A45" s="416" t="s">
        <v>1204</v>
      </c>
      <c r="B45" s="426"/>
      <c r="C45" s="643">
        <f>'C2C'!C226</f>
        <v>0</v>
      </c>
      <c r="D45" s="671">
        <f>'C2C'!D226</f>
        <v>0</v>
      </c>
      <c r="E45" s="408">
        <f>'C2C'!E226</f>
        <v>0</v>
      </c>
      <c r="F45" s="408">
        <f>'C2C'!F226</f>
        <v>0</v>
      </c>
      <c r="G45" s="408">
        <f>'C2C'!G226</f>
        <v>0</v>
      </c>
      <c r="H45" s="408">
        <f>'C2C'!H226</f>
        <v>0</v>
      </c>
      <c r="I45" s="47">
        <f t="shared" si="10"/>
        <v>0</v>
      </c>
      <c r="J45" s="200" t="str">
        <f t="shared" si="11"/>
        <v/>
      </c>
      <c r="K45" s="643">
        <f>'C2C'!K226</f>
        <v>0</v>
      </c>
      <c r="L45" s="100"/>
      <c r="Q45" s="70"/>
    </row>
    <row r="46" spans="1:17" ht="12.75" customHeight="1" x14ac:dyDescent="0.25">
      <c r="A46" s="416" t="s">
        <v>122</v>
      </c>
      <c r="B46" s="426"/>
      <c r="C46" s="644">
        <f>'C2C'!C230</f>
        <v>4516272.6499999994</v>
      </c>
      <c r="D46" s="672">
        <f>'C2C'!D230</f>
        <v>5765190</v>
      </c>
      <c r="E46" s="673">
        <f>'C2C'!E230</f>
        <v>5017505</v>
      </c>
      <c r="F46" s="673">
        <f>'C2C'!F230</f>
        <v>327335.09999999998</v>
      </c>
      <c r="G46" s="673">
        <f>'C2C'!G230</f>
        <v>2249373.58</v>
      </c>
      <c r="H46" s="673">
        <f>'C2C'!H230</f>
        <v>2219008.62</v>
      </c>
      <c r="I46" s="47">
        <f t="shared" si="10"/>
        <v>30364.959999999963</v>
      </c>
      <c r="J46" s="200">
        <f t="shared" si="11"/>
        <v>1.3684020749770662E-2</v>
      </c>
      <c r="K46" s="674">
        <f>'C2C'!K230</f>
        <v>5765190</v>
      </c>
      <c r="L46" s="100"/>
      <c r="Q46" s="70"/>
    </row>
    <row r="47" spans="1:17" ht="12.75" customHeight="1" x14ac:dyDescent="0.25">
      <c r="A47" s="416" t="s">
        <v>123</v>
      </c>
      <c r="B47" s="426"/>
      <c r="C47" s="643">
        <f>'C2C'!C235</f>
        <v>92397373.780000001</v>
      </c>
      <c r="D47" s="671">
        <f>'C2C'!D235</f>
        <v>85889156.920000002</v>
      </c>
      <c r="E47" s="408">
        <f>'C2C'!E235</f>
        <v>74626664.870000005</v>
      </c>
      <c r="F47" s="408">
        <f>'C2C'!F235</f>
        <v>5410087.1000000006</v>
      </c>
      <c r="G47" s="408">
        <f>'C2C'!G235</f>
        <v>33604020.739999995</v>
      </c>
      <c r="H47" s="408">
        <f>'C2C'!H235</f>
        <v>30782280.680000003</v>
      </c>
      <c r="I47" s="47">
        <f t="shared" si="10"/>
        <v>2821740.0599999912</v>
      </c>
      <c r="J47" s="200">
        <f t="shared" si="11"/>
        <v>9.1667673663743329E-2</v>
      </c>
      <c r="K47" s="643">
        <f>'C2C'!K235</f>
        <v>85889156.920000002</v>
      </c>
      <c r="L47" s="100"/>
      <c r="Q47" s="70"/>
    </row>
    <row r="48" spans="1:17" ht="12.75" customHeight="1" x14ac:dyDescent="0.25">
      <c r="A48" s="414" t="s">
        <v>729</v>
      </c>
      <c r="B48" s="426"/>
      <c r="C48" s="642">
        <f>'C2C'!C240</f>
        <v>0</v>
      </c>
      <c r="D48" s="670">
        <f>'C2C'!D240</f>
        <v>0</v>
      </c>
      <c r="E48" s="638">
        <f>'C2C'!E240</f>
        <v>0</v>
      </c>
      <c r="F48" s="638">
        <f>'C2C'!F240</f>
        <v>0</v>
      </c>
      <c r="G48" s="638">
        <f>'C2C'!G240</f>
        <v>0</v>
      </c>
      <c r="H48" s="638">
        <f>'C2C'!H240</f>
        <v>0</v>
      </c>
      <c r="I48" s="102">
        <f t="shared" si="10"/>
        <v>0</v>
      </c>
      <c r="J48" s="714" t="str">
        <f t="shared" si="11"/>
        <v/>
      </c>
      <c r="K48" s="642">
        <f>'C2C'!K240</f>
        <v>0</v>
      </c>
      <c r="L48" s="100"/>
      <c r="Q48" s="70"/>
    </row>
    <row r="49" spans="1:17" ht="12.75" customHeight="1" x14ac:dyDescent="0.25">
      <c r="A49" s="92" t="s">
        <v>1218</v>
      </c>
      <c r="B49" s="422">
        <v>3</v>
      </c>
      <c r="C49" s="601">
        <f>C29+C33+C39+C43+C48</f>
        <v>1212344673.4400001</v>
      </c>
      <c r="D49" s="599">
        <f t="shared" ref="D49:I49" si="15">D29+D33+D39+D43+D48</f>
        <v>1313896978.96</v>
      </c>
      <c r="E49" s="546">
        <f t="shared" si="15"/>
        <v>1228545633.4200001</v>
      </c>
      <c r="F49" s="546">
        <f t="shared" si="15"/>
        <v>148863527.03999996</v>
      </c>
      <c r="G49" s="546">
        <f t="shared" si="15"/>
        <v>504242527.13999999</v>
      </c>
      <c r="H49" s="546">
        <f t="shared" si="15"/>
        <v>444440195.72000003</v>
      </c>
      <c r="I49" s="546">
        <f t="shared" si="15"/>
        <v>59802331.41999995</v>
      </c>
      <c r="J49" s="600">
        <f t="shared" si="11"/>
        <v>0.13455653200565992</v>
      </c>
      <c r="K49" s="721">
        <f>K29+K33+K39+K43+K48</f>
        <v>1313896978.96</v>
      </c>
      <c r="L49" s="100"/>
      <c r="Q49" s="75"/>
    </row>
    <row r="50" spans="1:17" ht="12.75" customHeight="1" x14ac:dyDescent="0.25">
      <c r="A50" s="94" t="s">
        <v>907</v>
      </c>
      <c r="B50" s="429"/>
      <c r="C50" s="541">
        <f t="shared" ref="C50:H50" si="16">C26-C49</f>
        <v>-76991258.870000124</v>
      </c>
      <c r="D50" s="641">
        <f t="shared" si="16"/>
        <v>45279328.039999962</v>
      </c>
      <c r="E50" s="635">
        <f t="shared" si="16"/>
        <v>124667779.8499949</v>
      </c>
      <c r="F50" s="635">
        <f t="shared" si="16"/>
        <v>38428847.630000055</v>
      </c>
      <c r="G50" s="635">
        <f t="shared" si="16"/>
        <v>292427877.2700001</v>
      </c>
      <c r="H50" s="635">
        <f t="shared" si="16"/>
        <v>296732355.67999995</v>
      </c>
      <c r="I50" s="635">
        <f>I26-I49</f>
        <v>-4304478.4099999443</v>
      </c>
      <c r="J50" s="639">
        <f>IF(I50=0,"",I50/H50)</f>
        <v>-1.4506265756343572E-2</v>
      </c>
      <c r="K50" s="640">
        <f>K26-K49</f>
        <v>45279200.039999962</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1219</v>
      </c>
      <c r="B53" s="64"/>
      <c r="C53" s="79"/>
      <c r="D53" s="79"/>
      <c r="E53" s="79"/>
      <c r="F53" s="79"/>
      <c r="G53" s="79"/>
      <c r="H53" s="79"/>
      <c r="I53" s="79"/>
      <c r="J53" s="79"/>
      <c r="K53" s="79"/>
    </row>
    <row r="54" spans="1:17" ht="11.25" customHeight="1" x14ac:dyDescent="0.25">
      <c r="A54" s="80" t="s">
        <v>1220</v>
      </c>
      <c r="B54" s="64"/>
      <c r="C54" s="79"/>
      <c r="D54" s="79"/>
      <c r="E54" s="79"/>
      <c r="F54" s="79"/>
      <c r="G54" s="79"/>
      <c r="H54" s="79"/>
      <c r="I54" s="79"/>
      <c r="J54" s="79"/>
      <c r="K54" s="79"/>
    </row>
    <row r="55" spans="1:17" ht="27.75" customHeight="1" x14ac:dyDescent="0.25">
      <c r="A55" s="1027" t="s">
        <v>1221</v>
      </c>
      <c r="B55" s="1027"/>
      <c r="C55" s="1027"/>
      <c r="D55" s="1027"/>
      <c r="E55" s="1027"/>
      <c r="F55" s="1027"/>
      <c r="G55" s="1027"/>
      <c r="H55" s="1027"/>
      <c r="I55" s="1027"/>
      <c r="J55" s="1027"/>
      <c r="K55" s="1027"/>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5"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42" activePane="bottomRight" state="frozen"/>
      <selection pane="topRight"/>
      <selection pane="bottomLeft"/>
      <selection pane="bottomRight" activeCell="H232" sqref="H232:H234"/>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6" t="str">
        <f>muni&amp; " - "&amp;S71A&amp; " - "&amp;date</f>
        <v>LIM333 Greater Tzaneen - Table C2 Consolidated Monthly Budget Statement - Financial Performance (functional classification)  - M06 December</v>
      </c>
      <c r="B1" s="1026"/>
      <c r="C1" s="1026"/>
      <c r="D1" s="1026"/>
      <c r="E1" s="1026"/>
      <c r="F1" s="1026"/>
      <c r="G1" s="1026"/>
      <c r="H1" s="1026"/>
      <c r="I1" s="1026"/>
      <c r="J1" s="1026"/>
      <c r="K1" s="1026"/>
    </row>
    <row r="2" spans="1:12" ht="13.5" customHeight="1" x14ac:dyDescent="0.25">
      <c r="A2" s="1024" t="str">
        <f>desc</f>
        <v>Description</v>
      </c>
      <c r="B2" s="1022" t="str">
        <f>head27</f>
        <v>Ref</v>
      </c>
      <c r="C2" s="24" t="str">
        <f>Head1</f>
        <v>2018/19</v>
      </c>
      <c r="D2" s="231" t="str">
        <f>Head2</f>
        <v>Budget Year 2019/20</v>
      </c>
      <c r="E2" s="229"/>
      <c r="F2" s="229"/>
      <c r="G2" s="229"/>
      <c r="H2" s="229"/>
      <c r="I2" s="229"/>
      <c r="J2" s="229"/>
      <c r="K2" s="230"/>
    </row>
    <row r="3" spans="1:12"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676</v>
      </c>
      <c r="B4" s="425">
        <v>1</v>
      </c>
      <c r="C4" s="423"/>
      <c r="D4" s="240"/>
      <c r="E4" s="241"/>
      <c r="F4" s="82"/>
      <c r="G4" s="82"/>
      <c r="H4" s="82"/>
      <c r="I4" s="82"/>
      <c r="J4" s="242" t="s">
        <v>583</v>
      </c>
      <c r="K4" s="223"/>
    </row>
    <row r="5" spans="1:12" x14ac:dyDescent="0.25">
      <c r="A5" s="550" t="s">
        <v>1145</v>
      </c>
      <c r="B5" s="605"/>
      <c r="C5" s="36"/>
      <c r="D5" s="36"/>
      <c r="E5" s="36"/>
      <c r="F5" s="36"/>
      <c r="G5" s="36"/>
      <c r="H5" s="36"/>
      <c r="I5" s="632"/>
      <c r="J5" s="632"/>
      <c r="K5" s="226"/>
      <c r="L5" s="100"/>
    </row>
    <row r="6" spans="1:12" x14ac:dyDescent="0.25">
      <c r="A6" s="414" t="s">
        <v>165</v>
      </c>
      <c r="B6" s="415"/>
      <c r="C6" s="606">
        <f t="shared" ref="C6:H6" si="0">C7+C10+C24</f>
        <v>510994348.56999999</v>
      </c>
      <c r="D6" s="606">
        <f t="shared" si="0"/>
        <v>510038007</v>
      </c>
      <c r="E6" s="606">
        <f t="shared" si="0"/>
        <v>510977113.26999998</v>
      </c>
      <c r="F6" s="606">
        <f t="shared" si="0"/>
        <v>140822089.40000001</v>
      </c>
      <c r="G6" s="606">
        <f t="shared" si="0"/>
        <v>369723237.61000001</v>
      </c>
      <c r="H6" s="606">
        <f t="shared" si="0"/>
        <v>327707570.27999997</v>
      </c>
      <c r="I6" s="633">
        <f>G6-H6</f>
        <v>42015667.330000043</v>
      </c>
      <c r="J6" s="634">
        <f>IF(I6=0,"",I6/H6)</f>
        <v>0.12821085364033857</v>
      </c>
      <c r="K6" s="607">
        <f>K7+K10+K24</f>
        <v>510037879</v>
      </c>
      <c r="L6" s="100"/>
    </row>
    <row r="7" spans="1:12" x14ac:dyDescent="0.25">
      <c r="A7" s="608" t="s">
        <v>112</v>
      </c>
      <c r="B7" s="415"/>
      <c r="C7" s="609">
        <f>SUM(C8:C9)</f>
        <v>0</v>
      </c>
      <c r="D7" s="609">
        <f t="shared" ref="D7:K7" si="1">SUM(D8:D9)</f>
        <v>1100</v>
      </c>
      <c r="E7" s="609">
        <f t="shared" si="1"/>
        <v>1100</v>
      </c>
      <c r="F7" s="609">
        <f t="shared" si="1"/>
        <v>0</v>
      </c>
      <c r="G7" s="609">
        <f t="shared" si="1"/>
        <v>0</v>
      </c>
      <c r="H7" s="609">
        <f t="shared" si="1"/>
        <v>0</v>
      </c>
      <c r="I7" s="609">
        <f t="shared" ref="I7:I123" si="2">G7-H7</f>
        <v>0</v>
      </c>
      <c r="J7" s="609" t="str">
        <f t="shared" ref="J7:J123" si="3">IF(I7=0,"",I7/H7)</f>
        <v/>
      </c>
      <c r="K7" s="611">
        <f t="shared" si="1"/>
        <v>1100</v>
      </c>
      <c r="L7" s="100"/>
    </row>
    <row r="8" spans="1:12" x14ac:dyDescent="0.25">
      <c r="A8" s="696" t="s">
        <v>166</v>
      </c>
      <c r="B8" s="415"/>
      <c r="C8" s="734">
        <v>0</v>
      </c>
      <c r="D8" s="734">
        <v>1100</v>
      </c>
      <c r="E8" s="734">
        <v>1100</v>
      </c>
      <c r="F8" s="734"/>
      <c r="G8" s="734"/>
      <c r="H8" s="734"/>
      <c r="I8" s="408">
        <f t="shared" si="2"/>
        <v>0</v>
      </c>
      <c r="J8" s="408" t="str">
        <f t="shared" si="3"/>
        <v/>
      </c>
      <c r="K8" s="736">
        <v>1100</v>
      </c>
      <c r="L8" s="100"/>
    </row>
    <row r="9" spans="1:12" ht="22.5" x14ac:dyDescent="0.25">
      <c r="A9" s="696" t="s">
        <v>1131</v>
      </c>
      <c r="B9" s="415"/>
      <c r="C9" s="734"/>
      <c r="D9" s="734"/>
      <c r="E9" s="734"/>
      <c r="F9" s="734"/>
      <c r="G9" s="734"/>
      <c r="H9" s="734"/>
      <c r="I9" s="408">
        <f t="shared" si="2"/>
        <v>0</v>
      </c>
      <c r="J9" s="408" t="str">
        <f t="shared" si="3"/>
        <v/>
      </c>
      <c r="K9" s="736"/>
      <c r="L9" s="100"/>
    </row>
    <row r="10" spans="1:12" x14ac:dyDescent="0.25">
      <c r="A10" s="608" t="s">
        <v>1132</v>
      </c>
      <c r="B10" s="415"/>
      <c r="C10" s="609">
        <f t="shared" ref="C10:H10" si="4">SUM(C11:C23)</f>
        <v>510994348.56999999</v>
      </c>
      <c r="D10" s="609">
        <f t="shared" si="4"/>
        <v>510036907</v>
      </c>
      <c r="E10" s="609">
        <f t="shared" si="4"/>
        <v>510976013.26999998</v>
      </c>
      <c r="F10" s="609">
        <f t="shared" si="4"/>
        <v>140822089.40000001</v>
      </c>
      <c r="G10" s="609">
        <f t="shared" si="4"/>
        <v>369723237.61000001</v>
      </c>
      <c r="H10" s="609">
        <f t="shared" si="4"/>
        <v>327707570.27999997</v>
      </c>
      <c r="I10" s="609">
        <f t="shared" ref="I10:I15" si="5">G10-H10</f>
        <v>42015667.330000043</v>
      </c>
      <c r="J10" s="609">
        <f t="shared" ref="J10:J15" si="6">IF(I10=0,"",I10/H10)</f>
        <v>0.12821085364033857</v>
      </c>
      <c r="K10" s="609">
        <f>SUM(K11:K23)</f>
        <v>510036779</v>
      </c>
      <c r="L10" s="100"/>
    </row>
    <row r="11" spans="1:12" x14ac:dyDescent="0.25">
      <c r="A11" s="696" t="s">
        <v>1133</v>
      </c>
      <c r="B11" s="415"/>
      <c r="C11" s="734"/>
      <c r="D11" s="734"/>
      <c r="E11" s="734">
        <v>128</v>
      </c>
      <c r="F11" s="734"/>
      <c r="G11" s="734"/>
      <c r="H11" s="734"/>
      <c r="I11" s="408">
        <f t="shared" si="5"/>
        <v>0</v>
      </c>
      <c r="J11" s="408" t="str">
        <f t="shared" si="6"/>
        <v/>
      </c>
      <c r="K11" s="736"/>
      <c r="L11" s="100"/>
    </row>
    <row r="12" spans="1:12" x14ac:dyDescent="0.25">
      <c r="A12" s="696" t="s">
        <v>1134</v>
      </c>
      <c r="B12" s="415"/>
      <c r="C12" s="734"/>
      <c r="D12" s="734"/>
      <c r="E12" s="734"/>
      <c r="F12" s="734"/>
      <c r="G12" s="734"/>
      <c r="H12" s="734"/>
      <c r="I12" s="408">
        <f t="shared" si="5"/>
        <v>0</v>
      </c>
      <c r="J12" s="408" t="str">
        <f t="shared" si="6"/>
        <v/>
      </c>
      <c r="K12" s="736"/>
      <c r="L12" s="100"/>
    </row>
    <row r="13" spans="1:12" x14ac:dyDescent="0.25">
      <c r="A13" s="696" t="s">
        <v>1135</v>
      </c>
      <c r="B13" s="415"/>
      <c r="C13" s="734">
        <v>510246958</v>
      </c>
      <c r="D13" s="734">
        <v>510036778</v>
      </c>
      <c r="E13" s="734">
        <v>510036650</v>
      </c>
      <c r="F13" s="734">
        <v>140822089.40000001</v>
      </c>
      <c r="G13" s="734">
        <v>369723237.61000001</v>
      </c>
      <c r="H13" s="734">
        <v>327657257.44</v>
      </c>
      <c r="I13" s="408">
        <f t="shared" si="5"/>
        <v>42065980.170000017</v>
      </c>
      <c r="J13" s="408">
        <f t="shared" si="6"/>
        <v>0.12838409409473575</v>
      </c>
      <c r="K13" s="736">
        <v>510036650</v>
      </c>
      <c r="L13" s="100"/>
    </row>
    <row r="14" spans="1:12" x14ac:dyDescent="0.25">
      <c r="A14" s="696" t="s">
        <v>1136</v>
      </c>
      <c r="B14" s="415"/>
      <c r="C14" s="734"/>
      <c r="D14" s="734"/>
      <c r="E14" s="734"/>
      <c r="F14" s="734"/>
      <c r="G14" s="734"/>
      <c r="H14" s="734"/>
      <c r="I14" s="408">
        <f t="shared" si="5"/>
        <v>0</v>
      </c>
      <c r="J14" s="408" t="str">
        <f t="shared" si="6"/>
        <v/>
      </c>
      <c r="K14" s="736"/>
      <c r="L14" s="100"/>
    </row>
    <row r="15" spans="1:12" x14ac:dyDescent="0.25">
      <c r="A15" s="696" t="s">
        <v>167</v>
      </c>
      <c r="B15" s="415"/>
      <c r="C15" s="734">
        <v>636404.06999999995</v>
      </c>
      <c r="D15" s="734"/>
      <c r="E15" s="734">
        <v>939106.27</v>
      </c>
      <c r="F15" s="734"/>
      <c r="G15" s="734"/>
      <c r="H15" s="734">
        <v>50312.84</v>
      </c>
      <c r="I15" s="408">
        <f t="shared" si="5"/>
        <v>-50312.84</v>
      </c>
      <c r="J15" s="408">
        <f t="shared" si="6"/>
        <v>-1</v>
      </c>
      <c r="K15" s="736"/>
      <c r="L15" s="100"/>
    </row>
    <row r="16" spans="1:12" x14ac:dyDescent="0.25">
      <c r="A16" s="696" t="s">
        <v>168</v>
      </c>
      <c r="B16" s="415"/>
      <c r="C16" s="734">
        <v>110986.5</v>
      </c>
      <c r="D16" s="734"/>
      <c r="E16" s="734"/>
      <c r="F16" s="734"/>
      <c r="G16" s="734"/>
      <c r="H16" s="734"/>
      <c r="I16" s="408">
        <f t="shared" ref="I16:I23" si="7">G16-H16</f>
        <v>0</v>
      </c>
      <c r="J16" s="408" t="str">
        <f t="shared" ref="J16:J23" si="8">IF(I16=0,"",I16/H16)</f>
        <v/>
      </c>
      <c r="K16" s="736"/>
      <c r="L16" s="100"/>
    </row>
    <row r="17" spans="1:12" x14ac:dyDescent="0.25">
      <c r="A17" s="696" t="s">
        <v>1137</v>
      </c>
      <c r="B17" s="415"/>
      <c r="C17" s="734"/>
      <c r="D17" s="734">
        <v>129</v>
      </c>
      <c r="E17" s="734">
        <v>129</v>
      </c>
      <c r="F17" s="734"/>
      <c r="G17" s="734"/>
      <c r="H17" s="734"/>
      <c r="I17" s="408">
        <f t="shared" si="7"/>
        <v>0</v>
      </c>
      <c r="J17" s="408" t="str">
        <f t="shared" si="8"/>
        <v/>
      </c>
      <c r="K17" s="736">
        <v>129</v>
      </c>
      <c r="L17" s="100"/>
    </row>
    <row r="18" spans="1:12" ht="22.5" x14ac:dyDescent="0.25">
      <c r="A18" s="696" t="s">
        <v>1138</v>
      </c>
      <c r="B18" s="415"/>
      <c r="C18" s="734"/>
      <c r="D18" s="734"/>
      <c r="E18" s="734"/>
      <c r="F18" s="734"/>
      <c r="G18" s="734"/>
      <c r="H18" s="734"/>
      <c r="I18" s="408">
        <f t="shared" si="7"/>
        <v>0</v>
      </c>
      <c r="J18" s="408" t="str">
        <f t="shared" si="8"/>
        <v/>
      </c>
      <c r="K18" s="736"/>
      <c r="L18" s="100"/>
    </row>
    <row r="19" spans="1:12" x14ac:dyDescent="0.25">
      <c r="A19" s="696" t="s">
        <v>169</v>
      </c>
      <c r="B19" s="415"/>
      <c r="C19" s="734"/>
      <c r="D19" s="734"/>
      <c r="E19" s="734"/>
      <c r="F19" s="734"/>
      <c r="G19" s="734"/>
      <c r="H19" s="734"/>
      <c r="I19" s="408">
        <f t="shared" si="7"/>
        <v>0</v>
      </c>
      <c r="J19" s="408" t="str">
        <f t="shared" si="8"/>
        <v/>
      </c>
      <c r="K19" s="736"/>
      <c r="L19" s="100"/>
    </row>
    <row r="20" spans="1:12" x14ac:dyDescent="0.25">
      <c r="A20" s="696" t="s">
        <v>1139</v>
      </c>
      <c r="B20" s="415"/>
      <c r="C20" s="734"/>
      <c r="D20" s="734"/>
      <c r="E20" s="734"/>
      <c r="F20" s="734"/>
      <c r="G20" s="734"/>
      <c r="H20" s="734"/>
      <c r="I20" s="408">
        <f t="shared" si="7"/>
        <v>0</v>
      </c>
      <c r="J20" s="408" t="str">
        <f t="shared" si="8"/>
        <v/>
      </c>
      <c r="K20" s="736"/>
      <c r="L20" s="100"/>
    </row>
    <row r="21" spans="1:12" x14ac:dyDescent="0.25">
      <c r="A21" s="696" t="s">
        <v>1140</v>
      </c>
      <c r="B21" s="415"/>
      <c r="C21" s="734"/>
      <c r="D21" s="734"/>
      <c r="E21" s="734"/>
      <c r="F21" s="734"/>
      <c r="G21" s="734"/>
      <c r="H21" s="734"/>
      <c r="I21" s="408">
        <f t="shared" si="7"/>
        <v>0</v>
      </c>
      <c r="J21" s="408" t="str">
        <f t="shared" si="8"/>
        <v/>
      </c>
      <c r="K21" s="736"/>
      <c r="L21" s="100"/>
    </row>
    <row r="22" spans="1:12" x14ac:dyDescent="0.25">
      <c r="A22" s="696" t="s">
        <v>1141</v>
      </c>
      <c r="B22" s="415"/>
      <c r="C22" s="734"/>
      <c r="D22" s="734"/>
      <c r="E22" s="734"/>
      <c r="F22" s="734"/>
      <c r="G22" s="734"/>
      <c r="H22" s="734"/>
      <c r="I22" s="408">
        <f t="shared" si="7"/>
        <v>0</v>
      </c>
      <c r="J22" s="408" t="str">
        <f t="shared" si="8"/>
        <v/>
      </c>
      <c r="K22" s="736"/>
      <c r="L22" s="100"/>
    </row>
    <row r="23" spans="1:12" x14ac:dyDescent="0.25">
      <c r="A23" s="696" t="s">
        <v>1142</v>
      </c>
      <c r="B23" s="415"/>
      <c r="C23" s="734"/>
      <c r="D23" s="734"/>
      <c r="E23" s="734"/>
      <c r="F23" s="734"/>
      <c r="G23" s="734"/>
      <c r="H23" s="734"/>
      <c r="I23" s="408">
        <f t="shared" si="7"/>
        <v>0</v>
      </c>
      <c r="J23" s="408" t="str">
        <f t="shared" si="8"/>
        <v/>
      </c>
      <c r="K23" s="736"/>
      <c r="L23" s="100"/>
    </row>
    <row r="24" spans="1:12" x14ac:dyDescent="0.25">
      <c r="A24" s="608" t="s">
        <v>1143</v>
      </c>
      <c r="B24" s="415"/>
      <c r="C24" s="609">
        <f t="shared" ref="C24:H24" si="9">SUM(C25:C25)</f>
        <v>0</v>
      </c>
      <c r="D24" s="609">
        <f t="shared" si="9"/>
        <v>0</v>
      </c>
      <c r="E24" s="609">
        <f t="shared" si="9"/>
        <v>0</v>
      </c>
      <c r="F24" s="609">
        <f t="shared" si="9"/>
        <v>0</v>
      </c>
      <c r="G24" s="609">
        <f t="shared" si="9"/>
        <v>0</v>
      </c>
      <c r="H24" s="609">
        <f t="shared" si="9"/>
        <v>0</v>
      </c>
      <c r="I24" s="609">
        <f t="shared" si="2"/>
        <v>0</v>
      </c>
      <c r="J24" s="609" t="str">
        <f t="shared" si="3"/>
        <v/>
      </c>
      <c r="K24" s="611">
        <f>SUM(K25:K25)</f>
        <v>0</v>
      </c>
      <c r="L24" s="100"/>
    </row>
    <row r="25" spans="1:12" x14ac:dyDescent="0.25">
      <c r="A25" s="696" t="s">
        <v>1144</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34735594</v>
      </c>
      <c r="D26" s="606">
        <f t="shared" ref="D26:K26" si="10">D27+D49+D55+D64+D67</f>
        <v>41092127</v>
      </c>
      <c r="E26" s="606">
        <f t="shared" si="10"/>
        <v>41092127</v>
      </c>
      <c r="F26" s="606">
        <f t="shared" si="10"/>
        <v>298347.93999999994</v>
      </c>
      <c r="G26" s="606">
        <f t="shared" si="10"/>
        <v>1936004</v>
      </c>
      <c r="H26" s="606">
        <f t="shared" si="10"/>
        <v>3591297.84</v>
      </c>
      <c r="I26" s="606">
        <f t="shared" si="2"/>
        <v>-1655293.8399999999</v>
      </c>
      <c r="J26" s="606">
        <f t="shared" si="3"/>
        <v>-0.46091800617684214</v>
      </c>
      <c r="K26" s="607">
        <f t="shared" si="10"/>
        <v>41092127</v>
      </c>
      <c r="L26" s="100"/>
    </row>
    <row r="27" spans="1:12" x14ac:dyDescent="0.25">
      <c r="A27" s="608" t="s">
        <v>114</v>
      </c>
      <c r="B27" s="415"/>
      <c r="C27" s="612">
        <f t="shared" ref="C27:H27" si="11">SUM(C28:C48)</f>
        <v>37723</v>
      </c>
      <c r="D27" s="612">
        <f t="shared" si="11"/>
        <v>56136</v>
      </c>
      <c r="E27" s="612">
        <f t="shared" si="11"/>
        <v>56136</v>
      </c>
      <c r="F27" s="612">
        <f t="shared" si="11"/>
        <v>4700</v>
      </c>
      <c r="G27" s="612">
        <f t="shared" si="11"/>
        <v>20206</v>
      </c>
      <c r="H27" s="612">
        <f t="shared" si="11"/>
        <v>17111</v>
      </c>
      <c r="I27" s="612">
        <f t="shared" si="2"/>
        <v>3095</v>
      </c>
      <c r="J27" s="612">
        <f t="shared" si="3"/>
        <v>0.18087779790777861</v>
      </c>
      <c r="K27" s="612">
        <f>SUM(K28:K48)</f>
        <v>56136</v>
      </c>
      <c r="L27" s="100"/>
    </row>
    <row r="28" spans="1:12" x14ac:dyDescent="0.25">
      <c r="A28" s="696" t="s">
        <v>171</v>
      </c>
      <c r="B28" s="415"/>
      <c r="C28" s="734"/>
      <c r="D28" s="734"/>
      <c r="E28" s="734"/>
      <c r="F28" s="734"/>
      <c r="G28" s="734"/>
      <c r="H28" s="734"/>
      <c r="I28" s="408">
        <f t="shared" ref="I28:I34" si="12">G28-H28</f>
        <v>0</v>
      </c>
      <c r="J28" s="408" t="str">
        <f t="shared" ref="J28:J34" si="13">IF(I28=0,"",I28/H28)</f>
        <v/>
      </c>
      <c r="K28" s="736"/>
      <c r="L28" s="100"/>
    </row>
    <row r="29" spans="1:12" x14ac:dyDescent="0.25">
      <c r="A29" s="696" t="s">
        <v>723</v>
      </c>
      <c r="B29" s="415"/>
      <c r="C29" s="734"/>
      <c r="D29" s="734"/>
      <c r="E29" s="734"/>
      <c r="F29" s="734"/>
      <c r="G29" s="734"/>
      <c r="H29" s="734"/>
      <c r="I29" s="408">
        <f t="shared" si="12"/>
        <v>0</v>
      </c>
      <c r="J29" s="408" t="str">
        <f t="shared" si="13"/>
        <v/>
      </c>
      <c r="K29" s="736"/>
      <c r="L29" s="100"/>
    </row>
    <row r="30" spans="1:12" x14ac:dyDescent="0.25">
      <c r="A30" s="696" t="s">
        <v>1146</v>
      </c>
      <c r="B30" s="415"/>
      <c r="C30" s="734"/>
      <c r="D30" s="734"/>
      <c r="E30" s="734"/>
      <c r="F30" s="734"/>
      <c r="G30" s="734"/>
      <c r="H30" s="734"/>
      <c r="I30" s="408">
        <f t="shared" si="12"/>
        <v>0</v>
      </c>
      <c r="J30" s="408" t="str">
        <f t="shared" si="13"/>
        <v/>
      </c>
      <c r="K30" s="736"/>
      <c r="L30" s="100"/>
    </row>
    <row r="31" spans="1:12" ht="22.5" x14ac:dyDescent="0.25">
      <c r="A31" s="696" t="s">
        <v>1147</v>
      </c>
      <c r="B31" s="415"/>
      <c r="C31" s="734"/>
      <c r="D31" s="734"/>
      <c r="E31" s="734"/>
      <c r="F31" s="734"/>
      <c r="G31" s="734"/>
      <c r="H31" s="734"/>
      <c r="I31" s="408">
        <f t="shared" si="12"/>
        <v>0</v>
      </c>
      <c r="J31" s="408" t="str">
        <f t="shared" si="13"/>
        <v/>
      </c>
      <c r="K31" s="736"/>
      <c r="L31" s="100"/>
    </row>
    <row r="32" spans="1:12" x14ac:dyDescent="0.25">
      <c r="A32" s="696" t="s">
        <v>1148</v>
      </c>
      <c r="B32" s="415"/>
      <c r="C32" s="734"/>
      <c r="D32" s="734"/>
      <c r="E32" s="734"/>
      <c r="F32" s="734"/>
      <c r="G32" s="734"/>
      <c r="H32" s="734"/>
      <c r="I32" s="408">
        <f t="shared" si="12"/>
        <v>0</v>
      </c>
      <c r="J32" s="408" t="str">
        <f t="shared" si="13"/>
        <v/>
      </c>
      <c r="K32" s="736"/>
      <c r="L32" s="100"/>
    </row>
    <row r="33" spans="1:12" x14ac:dyDescent="0.25">
      <c r="A33" s="696" t="s">
        <v>1149</v>
      </c>
      <c r="B33" s="415"/>
      <c r="C33" s="734"/>
      <c r="D33" s="734"/>
      <c r="E33" s="734"/>
      <c r="F33" s="734"/>
      <c r="G33" s="734"/>
      <c r="H33" s="734"/>
      <c r="I33" s="408">
        <f t="shared" si="12"/>
        <v>0</v>
      </c>
      <c r="J33" s="408" t="str">
        <f t="shared" si="13"/>
        <v/>
      </c>
      <c r="K33" s="736"/>
      <c r="L33" s="100"/>
    </row>
    <row r="34" spans="1:12" x14ac:dyDescent="0.25">
      <c r="A34" s="696" t="s">
        <v>1150</v>
      </c>
      <c r="B34" s="415"/>
      <c r="C34" s="734"/>
      <c r="D34" s="734"/>
      <c r="E34" s="734"/>
      <c r="F34" s="734"/>
      <c r="G34" s="734"/>
      <c r="H34" s="734"/>
      <c r="I34" s="408">
        <f t="shared" si="12"/>
        <v>0</v>
      </c>
      <c r="J34" s="408" t="str">
        <f t="shared" si="13"/>
        <v/>
      </c>
      <c r="K34" s="736"/>
      <c r="L34" s="100"/>
    </row>
    <row r="35" spans="1:12" x14ac:dyDescent="0.25">
      <c r="A35" s="696" t="s">
        <v>1151</v>
      </c>
      <c r="B35" s="415"/>
      <c r="C35" s="734"/>
      <c r="D35" s="734"/>
      <c r="E35" s="734"/>
      <c r="F35" s="734"/>
      <c r="G35" s="734"/>
      <c r="H35" s="734"/>
      <c r="I35" s="408">
        <f t="shared" ref="I35:I40" si="14">G35-H35</f>
        <v>0</v>
      </c>
      <c r="J35" s="408" t="str">
        <f t="shared" ref="J35:J40" si="15">IF(I35=0,"",I35/H35)</f>
        <v/>
      </c>
      <c r="K35" s="736"/>
      <c r="L35" s="100"/>
    </row>
    <row r="36" spans="1:12" x14ac:dyDescent="0.25">
      <c r="A36" s="696" t="s">
        <v>1152</v>
      </c>
      <c r="B36" s="415"/>
      <c r="C36" s="734"/>
      <c r="D36" s="734"/>
      <c r="E36" s="734"/>
      <c r="F36" s="734"/>
      <c r="G36" s="734"/>
      <c r="H36" s="734"/>
      <c r="I36" s="408">
        <f t="shared" si="14"/>
        <v>0</v>
      </c>
      <c r="J36" s="408" t="str">
        <f t="shared" si="15"/>
        <v/>
      </c>
      <c r="K36" s="736"/>
      <c r="L36" s="100"/>
    </row>
    <row r="37" spans="1:12" x14ac:dyDescent="0.25">
      <c r="A37" s="696" t="s">
        <v>1019</v>
      </c>
      <c r="B37" s="415"/>
      <c r="C37" s="734"/>
      <c r="D37" s="734"/>
      <c r="E37" s="734"/>
      <c r="F37" s="734"/>
      <c r="G37" s="734"/>
      <c r="H37" s="734"/>
      <c r="I37" s="408">
        <f t="shared" si="14"/>
        <v>0</v>
      </c>
      <c r="J37" s="408" t="str">
        <f t="shared" si="15"/>
        <v/>
      </c>
      <c r="K37" s="736"/>
      <c r="L37" s="100"/>
    </row>
    <row r="38" spans="1:12" x14ac:dyDescent="0.25">
      <c r="A38" s="696" t="s">
        <v>1153</v>
      </c>
      <c r="B38" s="415"/>
      <c r="C38" s="734"/>
      <c r="D38" s="734"/>
      <c r="E38" s="734"/>
      <c r="F38" s="734"/>
      <c r="G38" s="734"/>
      <c r="H38" s="734"/>
      <c r="I38" s="408">
        <f t="shared" si="14"/>
        <v>0</v>
      </c>
      <c r="J38" s="408" t="str">
        <f t="shared" si="15"/>
        <v/>
      </c>
      <c r="K38" s="736"/>
      <c r="L38" s="100"/>
    </row>
    <row r="39" spans="1:12" x14ac:dyDescent="0.25">
      <c r="A39" s="696" t="s">
        <v>1154</v>
      </c>
      <c r="B39" s="415"/>
      <c r="C39" s="734"/>
      <c r="D39" s="734"/>
      <c r="E39" s="734"/>
      <c r="F39" s="734"/>
      <c r="G39" s="734"/>
      <c r="H39" s="734"/>
      <c r="I39" s="408">
        <f t="shared" si="14"/>
        <v>0</v>
      </c>
      <c r="J39" s="408" t="str">
        <f t="shared" si="15"/>
        <v/>
      </c>
      <c r="K39" s="736"/>
      <c r="L39" s="100"/>
    </row>
    <row r="40" spans="1:12" x14ac:dyDescent="0.25">
      <c r="A40" s="696" t="s">
        <v>1155</v>
      </c>
      <c r="B40" s="415"/>
      <c r="C40" s="734"/>
      <c r="D40" s="734"/>
      <c r="E40" s="734"/>
      <c r="F40" s="734"/>
      <c r="G40" s="734"/>
      <c r="H40" s="734"/>
      <c r="I40" s="408">
        <f t="shared" si="14"/>
        <v>0</v>
      </c>
      <c r="J40" s="408" t="str">
        <f t="shared" si="15"/>
        <v/>
      </c>
      <c r="K40" s="736"/>
      <c r="L40" s="100"/>
    </row>
    <row r="41" spans="1:12" x14ac:dyDescent="0.25">
      <c r="A41" s="696" t="s">
        <v>170</v>
      </c>
      <c r="B41" s="415"/>
      <c r="C41" s="734">
        <v>37723</v>
      </c>
      <c r="D41" s="734">
        <v>56136</v>
      </c>
      <c r="E41" s="734">
        <v>56136</v>
      </c>
      <c r="F41" s="734">
        <v>4700</v>
      </c>
      <c r="G41" s="734">
        <v>20206</v>
      </c>
      <c r="H41" s="734">
        <v>17111</v>
      </c>
      <c r="I41" s="408">
        <f t="shared" si="2"/>
        <v>3095</v>
      </c>
      <c r="J41" s="408">
        <f t="shared" si="3"/>
        <v>0.18087779790777861</v>
      </c>
      <c r="K41" s="736">
        <v>56136</v>
      </c>
      <c r="L41" s="100"/>
    </row>
    <row r="42" spans="1:12" x14ac:dyDescent="0.25">
      <c r="A42" s="696" t="s">
        <v>1156</v>
      </c>
      <c r="B42" s="415"/>
      <c r="C42" s="734"/>
      <c r="D42" s="734"/>
      <c r="E42" s="734"/>
      <c r="F42" s="734"/>
      <c r="G42" s="734"/>
      <c r="H42" s="734"/>
      <c r="I42" s="408">
        <f t="shared" si="2"/>
        <v>0</v>
      </c>
      <c r="J42" s="408" t="str">
        <f t="shared" si="3"/>
        <v/>
      </c>
      <c r="K42" s="736"/>
      <c r="L42" s="100"/>
    </row>
    <row r="43" spans="1:12" x14ac:dyDescent="0.25">
      <c r="A43" s="696" t="s">
        <v>1157</v>
      </c>
      <c r="B43" s="415"/>
      <c r="C43" s="734"/>
      <c r="D43" s="734"/>
      <c r="E43" s="734"/>
      <c r="F43" s="734"/>
      <c r="G43" s="734"/>
      <c r="H43" s="734"/>
      <c r="I43" s="408">
        <f t="shared" si="2"/>
        <v>0</v>
      </c>
      <c r="J43" s="408" t="str">
        <f t="shared" si="3"/>
        <v/>
      </c>
      <c r="K43" s="736"/>
      <c r="L43" s="100"/>
    </row>
    <row r="44" spans="1:12" x14ac:dyDescent="0.25">
      <c r="A44" s="696" t="s">
        <v>1158</v>
      </c>
      <c r="B44" s="415"/>
      <c r="C44" s="734"/>
      <c r="D44" s="734"/>
      <c r="E44" s="734"/>
      <c r="F44" s="734"/>
      <c r="G44" s="734"/>
      <c r="H44" s="734"/>
      <c r="I44" s="408">
        <f t="shared" si="2"/>
        <v>0</v>
      </c>
      <c r="J44" s="408" t="str">
        <f t="shared" si="3"/>
        <v/>
      </c>
      <c r="K44" s="736"/>
      <c r="L44" s="100"/>
    </row>
    <row r="45" spans="1:12" x14ac:dyDescent="0.25">
      <c r="A45" s="696" t="s">
        <v>1159</v>
      </c>
      <c r="B45" s="415"/>
      <c r="C45" s="734"/>
      <c r="D45" s="734"/>
      <c r="E45" s="734"/>
      <c r="F45" s="734"/>
      <c r="G45" s="734"/>
      <c r="H45" s="734"/>
      <c r="I45" s="408">
        <f t="shared" si="2"/>
        <v>0</v>
      </c>
      <c r="J45" s="408" t="str">
        <f t="shared" si="3"/>
        <v/>
      </c>
      <c r="K45" s="736"/>
      <c r="L45" s="100"/>
    </row>
    <row r="46" spans="1:12" x14ac:dyDescent="0.25">
      <c r="A46" s="696" t="s">
        <v>1160</v>
      </c>
      <c r="B46" s="415"/>
      <c r="C46" s="734"/>
      <c r="D46" s="734"/>
      <c r="E46" s="734"/>
      <c r="F46" s="734"/>
      <c r="G46" s="734"/>
      <c r="H46" s="734"/>
      <c r="I46" s="408">
        <f t="shared" si="2"/>
        <v>0</v>
      </c>
      <c r="J46" s="408" t="str">
        <f t="shared" si="3"/>
        <v/>
      </c>
      <c r="K46" s="736"/>
      <c r="L46" s="100"/>
    </row>
    <row r="47" spans="1:12" x14ac:dyDescent="0.25">
      <c r="A47" s="696" t="s">
        <v>1161</v>
      </c>
      <c r="B47" s="415"/>
      <c r="C47" s="734"/>
      <c r="D47" s="734"/>
      <c r="E47" s="734"/>
      <c r="F47" s="734"/>
      <c r="G47" s="734"/>
      <c r="H47" s="734"/>
      <c r="I47" s="408">
        <f t="shared" si="2"/>
        <v>0</v>
      </c>
      <c r="J47" s="408" t="str">
        <f t="shared" si="3"/>
        <v/>
      </c>
      <c r="K47" s="736"/>
      <c r="L47" s="100"/>
    </row>
    <row r="48" spans="1:12" x14ac:dyDescent="0.25">
      <c r="A48" s="696" t="s">
        <v>1162</v>
      </c>
      <c r="B48" s="415"/>
      <c r="C48" s="734"/>
      <c r="D48" s="734"/>
      <c r="E48" s="734"/>
      <c r="F48" s="734"/>
      <c r="G48" s="734"/>
      <c r="H48" s="734"/>
      <c r="I48" s="408">
        <f t="shared" si="2"/>
        <v>0</v>
      </c>
      <c r="J48" s="408" t="str">
        <f t="shared" si="3"/>
        <v/>
      </c>
      <c r="K48" s="736"/>
      <c r="L48" s="100"/>
    </row>
    <row r="49" spans="1:12" x14ac:dyDescent="0.25">
      <c r="A49" s="608" t="s">
        <v>115</v>
      </c>
      <c r="B49" s="415"/>
      <c r="C49" s="612">
        <f>SUM(C50:C54)</f>
        <v>124948</v>
      </c>
      <c r="D49" s="612">
        <f t="shared" ref="D49:K49" si="16">SUM(D50:D54)</f>
        <v>560766</v>
      </c>
      <c r="E49" s="612">
        <f t="shared" si="16"/>
        <v>560766</v>
      </c>
      <c r="F49" s="612">
        <f t="shared" si="16"/>
        <v>25198</v>
      </c>
      <c r="G49" s="612">
        <f t="shared" si="16"/>
        <v>118301.41</v>
      </c>
      <c r="H49" s="612">
        <f t="shared" si="16"/>
        <v>68956</v>
      </c>
      <c r="I49" s="612">
        <f t="shared" ref="I49:I54" si="17">G49-H49</f>
        <v>49345.41</v>
      </c>
      <c r="J49" s="612">
        <f t="shared" ref="J49:J54" si="18">IF(I49=0,"",I49/H49)</f>
        <v>0.7156071987934336</v>
      </c>
      <c r="K49" s="615">
        <f t="shared" si="16"/>
        <v>560766</v>
      </c>
      <c r="L49" s="100"/>
    </row>
    <row r="50" spans="1:12" x14ac:dyDescent="0.25">
      <c r="A50" s="696" t="s">
        <v>1163</v>
      </c>
      <c r="B50" s="415"/>
      <c r="C50" s="734"/>
      <c r="D50" s="734"/>
      <c r="E50" s="734"/>
      <c r="F50" s="734"/>
      <c r="G50" s="734"/>
      <c r="H50" s="734"/>
      <c r="I50" s="408">
        <f t="shared" si="17"/>
        <v>0</v>
      </c>
      <c r="J50" s="408" t="str">
        <f t="shared" si="18"/>
        <v/>
      </c>
      <c r="K50" s="736"/>
      <c r="L50" s="100"/>
    </row>
    <row r="51" spans="1:12" x14ac:dyDescent="0.25">
      <c r="A51" s="696" t="s">
        <v>1164</v>
      </c>
      <c r="B51" s="415"/>
      <c r="C51" s="734"/>
      <c r="D51" s="734"/>
      <c r="E51" s="734"/>
      <c r="F51" s="734"/>
      <c r="G51" s="734"/>
      <c r="H51" s="734"/>
      <c r="I51" s="408">
        <f t="shared" si="17"/>
        <v>0</v>
      </c>
      <c r="J51" s="408" t="str">
        <f t="shared" si="18"/>
        <v/>
      </c>
      <c r="K51" s="736"/>
      <c r="L51" s="100"/>
    </row>
    <row r="52" spans="1:12" x14ac:dyDescent="0.25">
      <c r="A52" s="696" t="s">
        <v>1165</v>
      </c>
      <c r="B52" s="415"/>
      <c r="C52" s="734"/>
      <c r="D52" s="734"/>
      <c r="E52" s="734"/>
      <c r="F52" s="734"/>
      <c r="G52" s="734"/>
      <c r="H52" s="734"/>
      <c r="I52" s="408">
        <f t="shared" si="17"/>
        <v>0</v>
      </c>
      <c r="J52" s="408" t="str">
        <f t="shared" si="18"/>
        <v/>
      </c>
      <c r="K52" s="736"/>
      <c r="L52" s="100"/>
    </row>
    <row r="53" spans="1:12" x14ac:dyDescent="0.25">
      <c r="A53" s="696" t="s">
        <v>1166</v>
      </c>
      <c r="B53" s="415"/>
      <c r="C53" s="734">
        <v>124948</v>
      </c>
      <c r="D53" s="734">
        <v>560766</v>
      </c>
      <c r="E53" s="734">
        <v>560766</v>
      </c>
      <c r="F53" s="734">
        <v>25198</v>
      </c>
      <c r="G53" s="734">
        <v>118301.41</v>
      </c>
      <c r="H53" s="734">
        <v>68956</v>
      </c>
      <c r="I53" s="408">
        <f t="shared" si="17"/>
        <v>49345.41</v>
      </c>
      <c r="J53" s="408">
        <f t="shared" si="18"/>
        <v>0.7156071987934336</v>
      </c>
      <c r="K53" s="736">
        <v>560766</v>
      </c>
      <c r="L53" s="100"/>
    </row>
    <row r="54" spans="1:12" x14ac:dyDescent="0.25">
      <c r="A54" s="696" t="s">
        <v>1167</v>
      </c>
      <c r="B54" s="415"/>
      <c r="C54" s="734"/>
      <c r="D54" s="734"/>
      <c r="E54" s="734"/>
      <c r="F54" s="734"/>
      <c r="G54" s="734"/>
      <c r="H54" s="734"/>
      <c r="I54" s="408">
        <f t="shared" si="17"/>
        <v>0</v>
      </c>
      <c r="J54" s="408" t="str">
        <f t="shared" si="18"/>
        <v/>
      </c>
      <c r="K54" s="736"/>
      <c r="L54" s="100"/>
    </row>
    <row r="55" spans="1:12" x14ac:dyDescent="0.25">
      <c r="A55" s="608" t="s">
        <v>116</v>
      </c>
      <c r="B55" s="415"/>
      <c r="C55" s="612">
        <f>SUM(C56:C63)</f>
        <v>31635630</v>
      </c>
      <c r="D55" s="612">
        <f t="shared" ref="D55:K55" si="19">SUM(D56:D63)</f>
        <v>38001000</v>
      </c>
      <c r="E55" s="612">
        <f t="shared" si="19"/>
        <v>38001000</v>
      </c>
      <c r="F55" s="612">
        <f t="shared" si="19"/>
        <v>118800</v>
      </c>
      <c r="G55" s="612">
        <f t="shared" si="19"/>
        <v>794170</v>
      </c>
      <c r="H55" s="612">
        <f t="shared" si="19"/>
        <v>1945645.52</v>
      </c>
      <c r="I55" s="612">
        <f t="shared" si="2"/>
        <v>-1151475.52</v>
      </c>
      <c r="J55" s="612">
        <f t="shared" si="3"/>
        <v>-0.59182184429977769</v>
      </c>
      <c r="K55" s="615">
        <f t="shared" si="19"/>
        <v>38001000</v>
      </c>
      <c r="L55" s="100"/>
    </row>
    <row r="56" spans="1:12" x14ac:dyDescent="0.25">
      <c r="A56" s="696" t="s">
        <v>173</v>
      </c>
      <c r="B56" s="415"/>
      <c r="C56" s="734">
        <v>31635630</v>
      </c>
      <c r="D56" s="734">
        <v>38001000</v>
      </c>
      <c r="E56" s="734">
        <v>38001000</v>
      </c>
      <c r="F56" s="734">
        <v>118800</v>
      </c>
      <c r="G56" s="734">
        <v>794170</v>
      </c>
      <c r="H56" s="734">
        <v>1945645.52</v>
      </c>
      <c r="I56" s="408">
        <f t="shared" si="2"/>
        <v>-1151475.52</v>
      </c>
      <c r="J56" s="408">
        <f t="shared" si="3"/>
        <v>-0.59182184429977769</v>
      </c>
      <c r="K56" s="736">
        <v>38001000</v>
      </c>
      <c r="L56" s="100"/>
    </row>
    <row r="57" spans="1:12" x14ac:dyDescent="0.25">
      <c r="A57" s="696" t="s">
        <v>1168</v>
      </c>
      <c r="B57" s="415"/>
      <c r="C57" s="734"/>
      <c r="D57" s="734"/>
      <c r="E57" s="734"/>
      <c r="F57" s="734"/>
      <c r="G57" s="734"/>
      <c r="H57" s="734"/>
      <c r="I57" s="408">
        <f t="shared" si="2"/>
        <v>0</v>
      </c>
      <c r="J57" s="408" t="str">
        <f t="shared" si="3"/>
        <v/>
      </c>
      <c r="K57" s="736"/>
      <c r="L57" s="100"/>
    </row>
    <row r="58" spans="1:12" x14ac:dyDescent="0.25">
      <c r="A58" s="696" t="s">
        <v>1169</v>
      </c>
      <c r="B58" s="415"/>
      <c r="C58" s="734"/>
      <c r="D58" s="734"/>
      <c r="E58" s="734"/>
      <c r="F58" s="734"/>
      <c r="G58" s="734"/>
      <c r="H58" s="734"/>
      <c r="I58" s="408">
        <f>G58-H58</f>
        <v>0</v>
      </c>
      <c r="J58" s="408" t="str">
        <f>IF(I58=0,"",I58/H58)</f>
        <v/>
      </c>
      <c r="K58" s="736"/>
      <c r="L58" s="100"/>
    </row>
    <row r="59" spans="1:12" x14ac:dyDescent="0.25">
      <c r="A59" s="696" t="s">
        <v>1170</v>
      </c>
      <c r="B59" s="415"/>
      <c r="C59" s="734"/>
      <c r="D59" s="734"/>
      <c r="E59" s="734"/>
      <c r="F59" s="734"/>
      <c r="G59" s="734"/>
      <c r="H59" s="734"/>
      <c r="I59" s="408">
        <f t="shared" si="2"/>
        <v>0</v>
      </c>
      <c r="J59" s="408" t="str">
        <f t="shared" si="3"/>
        <v/>
      </c>
      <c r="K59" s="736"/>
      <c r="L59" s="100"/>
    </row>
    <row r="60" spans="1:12" x14ac:dyDescent="0.25">
      <c r="A60" s="696" t="s">
        <v>1171</v>
      </c>
      <c r="B60" s="415"/>
      <c r="C60" s="734"/>
      <c r="D60" s="734"/>
      <c r="E60" s="734"/>
      <c r="F60" s="734"/>
      <c r="G60" s="734"/>
      <c r="H60" s="734"/>
      <c r="I60" s="408">
        <f t="shared" si="2"/>
        <v>0</v>
      </c>
      <c r="J60" s="408" t="str">
        <f t="shared" si="3"/>
        <v/>
      </c>
      <c r="K60" s="736"/>
      <c r="L60" s="100"/>
    </row>
    <row r="61" spans="1:12" x14ac:dyDescent="0.25">
      <c r="A61" s="696" t="s">
        <v>1172</v>
      </c>
      <c r="B61" s="415"/>
      <c r="C61" s="734"/>
      <c r="D61" s="734"/>
      <c r="E61" s="734"/>
      <c r="F61" s="734"/>
      <c r="G61" s="734"/>
      <c r="H61" s="734"/>
      <c r="I61" s="408">
        <f>G61-H61</f>
        <v>0</v>
      </c>
      <c r="J61" s="408" t="str">
        <f>IF(I61=0,"",I61/H61)</f>
        <v/>
      </c>
      <c r="K61" s="736"/>
      <c r="L61" s="100"/>
    </row>
    <row r="62" spans="1:12" ht="22.5" x14ac:dyDescent="0.25">
      <c r="A62" s="696" t="s">
        <v>1190</v>
      </c>
      <c r="B62" s="415"/>
      <c r="C62" s="734"/>
      <c r="D62" s="734"/>
      <c r="E62" s="734"/>
      <c r="F62" s="734"/>
      <c r="G62" s="734"/>
      <c r="H62" s="734"/>
      <c r="I62" s="408">
        <f>G62-H62</f>
        <v>0</v>
      </c>
      <c r="J62" s="408" t="str">
        <f>IF(I62=0,"",I62/H62)</f>
        <v/>
      </c>
      <c r="K62" s="736"/>
      <c r="L62" s="100"/>
    </row>
    <row r="63" spans="1:12" x14ac:dyDescent="0.25">
      <c r="A63" s="696" t="s">
        <v>1191</v>
      </c>
      <c r="B63" s="415"/>
      <c r="C63" s="734"/>
      <c r="D63" s="734"/>
      <c r="E63" s="734"/>
      <c r="F63" s="734"/>
      <c r="G63" s="734"/>
      <c r="H63" s="734"/>
      <c r="I63" s="408">
        <f t="shared" si="2"/>
        <v>0</v>
      </c>
      <c r="J63" s="408" t="str">
        <f t="shared" si="3"/>
        <v/>
      </c>
      <c r="K63" s="736"/>
      <c r="L63" s="100"/>
    </row>
    <row r="64" spans="1:12" x14ac:dyDescent="0.25">
      <c r="A64" s="608" t="s">
        <v>722</v>
      </c>
      <c r="B64" s="415"/>
      <c r="C64" s="612">
        <f t="shared" ref="C64:H64" si="20">SUM(C65:C66)</f>
        <v>2724294</v>
      </c>
      <c r="D64" s="612">
        <f t="shared" si="20"/>
        <v>2461225</v>
      </c>
      <c r="E64" s="612">
        <f t="shared" si="20"/>
        <v>2461225</v>
      </c>
      <c r="F64" s="612">
        <f t="shared" si="20"/>
        <v>148583.09</v>
      </c>
      <c r="G64" s="612">
        <f t="shared" si="20"/>
        <v>996925.49</v>
      </c>
      <c r="H64" s="612">
        <f t="shared" si="20"/>
        <v>1556384.77</v>
      </c>
      <c r="I64" s="612">
        <f>G64-H64</f>
        <v>-559459.28</v>
      </c>
      <c r="J64" s="612">
        <f>IF(I64=0,"",I64/H64)</f>
        <v>-0.35946077781267421</v>
      </c>
      <c r="K64" s="615">
        <f>SUM(K65:K66)</f>
        <v>2461225</v>
      </c>
      <c r="L64" s="100"/>
    </row>
    <row r="65" spans="1:12" x14ac:dyDescent="0.25">
      <c r="A65" s="696" t="s">
        <v>722</v>
      </c>
      <c r="B65" s="415"/>
      <c r="C65" s="734">
        <v>2724294</v>
      </c>
      <c r="D65" s="734">
        <v>2461225</v>
      </c>
      <c r="E65" s="734">
        <v>2461225</v>
      </c>
      <c r="F65" s="734">
        <v>148583.09</v>
      </c>
      <c r="G65" s="734">
        <v>996925.49</v>
      </c>
      <c r="H65" s="734">
        <v>1556384.77</v>
      </c>
      <c r="I65" s="408">
        <f>G65-H65</f>
        <v>-559459.28</v>
      </c>
      <c r="J65" s="408">
        <f>IF(I65=0,"",I65/H65)</f>
        <v>-0.35946077781267421</v>
      </c>
      <c r="K65" s="736">
        <v>2461225</v>
      </c>
      <c r="L65" s="100"/>
    </row>
    <row r="66" spans="1:12" x14ac:dyDescent="0.25">
      <c r="A66" s="696" t="s">
        <v>1173</v>
      </c>
      <c r="B66" s="415"/>
      <c r="C66" s="734"/>
      <c r="D66" s="734"/>
      <c r="E66" s="734"/>
      <c r="F66" s="734"/>
      <c r="G66" s="734"/>
      <c r="H66" s="734"/>
      <c r="I66" s="408">
        <f>G66-H66</f>
        <v>0</v>
      </c>
      <c r="J66" s="408" t="str">
        <f>IF(I66=0,"",I66/H66)</f>
        <v/>
      </c>
      <c r="K66" s="736"/>
      <c r="L66" s="100"/>
    </row>
    <row r="67" spans="1:12" x14ac:dyDescent="0.25">
      <c r="A67" s="608" t="s">
        <v>619</v>
      </c>
      <c r="B67" s="415"/>
      <c r="C67" s="612">
        <f t="shared" ref="C67:H67" si="21">SUM(C68:C74)</f>
        <v>212999</v>
      </c>
      <c r="D67" s="612">
        <f t="shared" si="21"/>
        <v>13000</v>
      </c>
      <c r="E67" s="612">
        <f t="shared" si="21"/>
        <v>13000</v>
      </c>
      <c r="F67" s="612">
        <f t="shared" si="21"/>
        <v>1066.8499999999999</v>
      </c>
      <c r="G67" s="612">
        <f t="shared" si="21"/>
        <v>6401.1</v>
      </c>
      <c r="H67" s="612">
        <f t="shared" si="21"/>
        <v>3200.55</v>
      </c>
      <c r="I67" s="612">
        <f t="shared" si="2"/>
        <v>3200.55</v>
      </c>
      <c r="J67" s="612">
        <f t="shared" si="3"/>
        <v>1</v>
      </c>
      <c r="K67" s="612">
        <f>SUM(K68:K74)</f>
        <v>13000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1174</v>
      </c>
      <c r="B69" s="415"/>
      <c r="C69" s="734">
        <v>212999</v>
      </c>
      <c r="D69" s="734">
        <v>13000</v>
      </c>
      <c r="E69" s="734">
        <v>13000</v>
      </c>
      <c r="F69" s="734">
        <v>1066.8499999999999</v>
      </c>
      <c r="G69" s="734">
        <v>6401.1</v>
      </c>
      <c r="H69" s="734">
        <v>3200.55</v>
      </c>
      <c r="I69" s="408">
        <f t="shared" si="2"/>
        <v>3200.55</v>
      </c>
      <c r="J69" s="408">
        <f t="shared" si="3"/>
        <v>1</v>
      </c>
      <c r="K69" s="736">
        <v>13000</v>
      </c>
      <c r="L69" s="100"/>
    </row>
    <row r="70" spans="1:12" x14ac:dyDescent="0.25">
      <c r="A70" s="696" t="s">
        <v>1175</v>
      </c>
      <c r="B70" s="415"/>
      <c r="C70" s="734"/>
      <c r="D70" s="734"/>
      <c r="E70" s="734"/>
      <c r="F70" s="734"/>
      <c r="G70" s="734"/>
      <c r="H70" s="734"/>
      <c r="I70" s="408">
        <f>G70-H70</f>
        <v>0</v>
      </c>
      <c r="J70" s="408" t="str">
        <f>IF(I70=0,"",I70/H70)</f>
        <v/>
      </c>
      <c r="K70" s="736"/>
      <c r="L70" s="100"/>
    </row>
    <row r="71" spans="1:12" x14ac:dyDescent="0.25">
      <c r="A71" s="696" t="s">
        <v>1176</v>
      </c>
      <c r="B71" s="415"/>
      <c r="C71" s="734"/>
      <c r="D71" s="734"/>
      <c r="E71" s="734"/>
      <c r="F71" s="734"/>
      <c r="G71" s="734"/>
      <c r="H71" s="734"/>
      <c r="I71" s="408">
        <f>G71-H71</f>
        <v>0</v>
      </c>
      <c r="J71" s="408" t="str">
        <f>IF(I71=0,"",I71/H71)</f>
        <v/>
      </c>
      <c r="K71" s="736"/>
      <c r="L71" s="100"/>
    </row>
    <row r="72" spans="1:12" ht="33.75" x14ac:dyDescent="0.25">
      <c r="A72" s="696" t="s">
        <v>1177</v>
      </c>
      <c r="B72" s="415"/>
      <c r="C72" s="734"/>
      <c r="D72" s="734"/>
      <c r="E72" s="734"/>
      <c r="F72" s="734"/>
      <c r="G72" s="734"/>
      <c r="H72" s="734"/>
      <c r="I72" s="408">
        <f t="shared" si="2"/>
        <v>0</v>
      </c>
      <c r="J72" s="408" t="str">
        <f t="shared" si="3"/>
        <v/>
      </c>
      <c r="K72" s="736"/>
      <c r="L72" s="100"/>
    </row>
    <row r="73" spans="1:12" x14ac:dyDescent="0.25">
      <c r="A73" s="696" t="s">
        <v>1178</v>
      </c>
      <c r="B73" s="415"/>
      <c r="C73" s="734"/>
      <c r="D73" s="734"/>
      <c r="E73" s="734"/>
      <c r="F73" s="734"/>
      <c r="G73" s="734"/>
      <c r="H73" s="734"/>
      <c r="I73" s="408">
        <f t="shared" si="2"/>
        <v>0</v>
      </c>
      <c r="J73" s="408" t="str">
        <f t="shared" si="3"/>
        <v/>
      </c>
      <c r="K73" s="736"/>
      <c r="L73" s="100"/>
    </row>
    <row r="74" spans="1:12" x14ac:dyDescent="0.25">
      <c r="A74" s="696" t="s">
        <v>1179</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2">C76+C87+C92</f>
        <v>91410007</v>
      </c>
      <c r="D75" s="606">
        <f t="shared" si="22"/>
        <v>148244516</v>
      </c>
      <c r="E75" s="606">
        <f t="shared" si="22"/>
        <v>148244516</v>
      </c>
      <c r="F75" s="606">
        <f t="shared" si="22"/>
        <v>5889266.6299999999</v>
      </c>
      <c r="G75" s="606">
        <f t="shared" si="22"/>
        <v>97858580.569999993</v>
      </c>
      <c r="H75" s="606">
        <f t="shared" si="22"/>
        <v>106895075.01000001</v>
      </c>
      <c r="I75" s="606">
        <f t="shared" si="2"/>
        <v>-9036494.4400000125</v>
      </c>
      <c r="J75" s="606">
        <f t="shared" si="3"/>
        <v>-8.4536115804723935E-2</v>
      </c>
      <c r="K75" s="607">
        <f>K76+K87+K92</f>
        <v>148244516</v>
      </c>
      <c r="L75" s="100"/>
    </row>
    <row r="76" spans="1:12" x14ac:dyDescent="0.25">
      <c r="A76" s="608" t="s">
        <v>118</v>
      </c>
      <c r="B76" s="417"/>
      <c r="C76" s="612">
        <f t="shared" ref="C76:H76" si="23">SUM(C77:C86)</f>
        <v>233505</v>
      </c>
      <c r="D76" s="612">
        <f t="shared" si="23"/>
        <v>300125</v>
      </c>
      <c r="E76" s="612">
        <f t="shared" si="23"/>
        <v>300125</v>
      </c>
      <c r="F76" s="612">
        <f t="shared" si="23"/>
        <v>15612.24</v>
      </c>
      <c r="G76" s="612">
        <f t="shared" si="23"/>
        <v>145347.24</v>
      </c>
      <c r="H76" s="612">
        <f t="shared" si="23"/>
        <v>128350</v>
      </c>
      <c r="I76" s="612">
        <f t="shared" si="2"/>
        <v>16997.239999999991</v>
      </c>
      <c r="J76" s="612">
        <f t="shared" si="3"/>
        <v>0.13242882742500967</v>
      </c>
      <c r="K76" s="612">
        <f>SUM(K77:K86)</f>
        <v>300125</v>
      </c>
      <c r="L76" s="100"/>
    </row>
    <row r="77" spans="1:12" x14ac:dyDescent="0.25">
      <c r="A77" s="696" t="s">
        <v>1180</v>
      </c>
      <c r="B77" s="417"/>
      <c r="C77" s="734"/>
      <c r="D77" s="734"/>
      <c r="E77" s="734"/>
      <c r="F77" s="734"/>
      <c r="G77" s="734"/>
      <c r="H77" s="734"/>
      <c r="I77" s="408">
        <f>G77-H77</f>
        <v>0</v>
      </c>
      <c r="J77" s="408" t="str">
        <f>IF(I77=0,"",I77/H77)</f>
        <v/>
      </c>
      <c r="K77" s="736"/>
      <c r="L77" s="100"/>
    </row>
    <row r="78" spans="1:12" ht="22.5" x14ac:dyDescent="0.25">
      <c r="A78" s="696" t="s">
        <v>1181</v>
      </c>
      <c r="B78" s="417"/>
      <c r="C78" s="734"/>
      <c r="D78" s="734"/>
      <c r="E78" s="734"/>
      <c r="F78" s="734"/>
      <c r="G78" s="734"/>
      <c r="H78" s="734"/>
      <c r="I78" s="408">
        <f t="shared" si="2"/>
        <v>0</v>
      </c>
      <c r="J78" s="408" t="str">
        <f t="shared" si="3"/>
        <v/>
      </c>
      <c r="K78" s="736"/>
      <c r="L78" s="100"/>
    </row>
    <row r="79" spans="1:12" x14ac:dyDescent="0.25">
      <c r="A79" s="696" t="s">
        <v>1182</v>
      </c>
      <c r="B79" s="417"/>
      <c r="C79" s="734"/>
      <c r="D79" s="734"/>
      <c r="E79" s="734"/>
      <c r="F79" s="734"/>
      <c r="G79" s="734"/>
      <c r="H79" s="734"/>
      <c r="I79" s="408">
        <f t="shared" si="2"/>
        <v>0</v>
      </c>
      <c r="J79" s="408" t="str">
        <f t="shared" si="3"/>
        <v/>
      </c>
      <c r="K79" s="736"/>
      <c r="L79" s="100"/>
    </row>
    <row r="80" spans="1:12" x14ac:dyDescent="0.25">
      <c r="A80" s="696" t="s">
        <v>1183</v>
      </c>
      <c r="B80" s="417"/>
      <c r="C80" s="734"/>
      <c r="D80" s="734"/>
      <c r="E80" s="734"/>
      <c r="F80" s="734"/>
      <c r="G80" s="734"/>
      <c r="H80" s="734"/>
      <c r="I80" s="408">
        <f>G80-H80</f>
        <v>0</v>
      </c>
      <c r="J80" s="408" t="str">
        <f>IF(I80=0,"",I80/H80)</f>
        <v/>
      </c>
      <c r="K80" s="736"/>
      <c r="L80" s="100"/>
    </row>
    <row r="81" spans="1:12" x14ac:dyDescent="0.25">
      <c r="A81" s="696" t="s">
        <v>1184</v>
      </c>
      <c r="B81" s="417"/>
      <c r="C81" s="734"/>
      <c r="D81" s="734">
        <v>100125</v>
      </c>
      <c r="E81" s="734">
        <v>100125</v>
      </c>
      <c r="F81" s="734">
        <v>0</v>
      </c>
      <c r="G81" s="734">
        <v>1360</v>
      </c>
      <c r="H81" s="734"/>
      <c r="I81" s="408">
        <f>G81-H81</f>
        <v>1360</v>
      </c>
      <c r="J81" s="408" t="e">
        <f>IF(I81=0,"",I81/H81)</f>
        <v>#DIV/0!</v>
      </c>
      <c r="K81" s="736">
        <v>100125</v>
      </c>
      <c r="L81" s="100"/>
    </row>
    <row r="82" spans="1:12" x14ac:dyDescent="0.25">
      <c r="A82" s="696" t="s">
        <v>1185</v>
      </c>
      <c r="B82" s="417"/>
      <c r="C82" s="734">
        <v>233505</v>
      </c>
      <c r="D82" s="734">
        <v>200000</v>
      </c>
      <c r="E82" s="734">
        <v>200000</v>
      </c>
      <c r="F82" s="734">
        <v>15612.24</v>
      </c>
      <c r="G82" s="734">
        <v>143987.24</v>
      </c>
      <c r="H82" s="734">
        <v>128350</v>
      </c>
      <c r="I82" s="408">
        <f>G82-H82</f>
        <v>15637.239999999991</v>
      </c>
      <c r="J82" s="408">
        <f>IF(I82=0,"",I82/H82)</f>
        <v>0.12183280093494345</v>
      </c>
      <c r="K82" s="736">
        <v>200000</v>
      </c>
      <c r="L82" s="100"/>
    </row>
    <row r="83" spans="1:12" ht="22.5" x14ac:dyDescent="0.25">
      <c r="A83" s="696" t="s">
        <v>1186</v>
      </c>
      <c r="B83" s="417"/>
      <c r="C83" s="734"/>
      <c r="D83" s="734"/>
      <c r="E83" s="734"/>
      <c r="F83" s="734"/>
      <c r="G83" s="734"/>
      <c r="H83" s="734"/>
      <c r="I83" s="408">
        <f>G83-H83</f>
        <v>0</v>
      </c>
      <c r="J83" s="408" t="str">
        <f>IF(I83=0,"",I83/H83)</f>
        <v/>
      </c>
      <c r="K83" s="736"/>
      <c r="L83" s="100"/>
    </row>
    <row r="84" spans="1:12" x14ac:dyDescent="0.25">
      <c r="A84" s="696" t="s">
        <v>1187</v>
      </c>
      <c r="B84" s="417"/>
      <c r="C84" s="734"/>
      <c r="D84" s="734"/>
      <c r="E84" s="734"/>
      <c r="F84" s="734"/>
      <c r="G84" s="734"/>
      <c r="H84" s="734"/>
      <c r="I84" s="408">
        <f t="shared" si="2"/>
        <v>0</v>
      </c>
      <c r="J84" s="408" t="str">
        <f t="shared" si="3"/>
        <v/>
      </c>
      <c r="K84" s="736"/>
      <c r="L84" s="100"/>
    </row>
    <row r="85" spans="1:12" x14ac:dyDescent="0.25">
      <c r="A85" s="696" t="s">
        <v>1188</v>
      </c>
      <c r="B85" s="417"/>
      <c r="C85" s="734"/>
      <c r="D85" s="734"/>
      <c r="E85" s="734"/>
      <c r="F85" s="734"/>
      <c r="G85" s="734"/>
      <c r="H85" s="734"/>
      <c r="I85" s="408">
        <f t="shared" si="2"/>
        <v>0</v>
      </c>
      <c r="J85" s="408" t="str">
        <f t="shared" si="3"/>
        <v/>
      </c>
      <c r="K85" s="736"/>
      <c r="L85" s="100"/>
    </row>
    <row r="86" spans="1:12" x14ac:dyDescent="0.25">
      <c r="A86" s="696" t="s">
        <v>1189</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4">SUM(C88:C91)</f>
        <v>91176502</v>
      </c>
      <c r="D87" s="612">
        <f t="shared" si="24"/>
        <v>147944391</v>
      </c>
      <c r="E87" s="612">
        <f t="shared" si="24"/>
        <v>147944391</v>
      </c>
      <c r="F87" s="612">
        <f t="shared" si="24"/>
        <v>5873654.3899999997</v>
      </c>
      <c r="G87" s="612">
        <f t="shared" si="24"/>
        <v>97713233.329999998</v>
      </c>
      <c r="H87" s="612">
        <f t="shared" si="24"/>
        <v>106766725.01000001</v>
      </c>
      <c r="I87" s="612">
        <f t="shared" si="2"/>
        <v>-9053491.6800000072</v>
      </c>
      <c r="J87" s="612">
        <f t="shared" si="3"/>
        <v>-8.4796940986548358E-2</v>
      </c>
      <c r="K87" s="615">
        <f>SUM(K88:K91)</f>
        <v>147944391</v>
      </c>
      <c r="L87" s="100"/>
    </row>
    <row r="88" spans="1:12" x14ac:dyDescent="0.25">
      <c r="A88" s="696" t="s">
        <v>1192</v>
      </c>
      <c r="B88" s="417"/>
      <c r="C88" s="734"/>
      <c r="D88" s="734"/>
      <c r="E88" s="734"/>
      <c r="F88" s="734"/>
      <c r="G88" s="734"/>
      <c r="H88" s="734"/>
      <c r="I88" s="408">
        <f t="shared" si="2"/>
        <v>0</v>
      </c>
      <c r="J88" s="408" t="str">
        <f t="shared" si="3"/>
        <v/>
      </c>
      <c r="K88" s="736"/>
      <c r="L88" s="100"/>
    </row>
    <row r="89" spans="1:12" x14ac:dyDescent="0.25">
      <c r="A89" s="696" t="s">
        <v>1193</v>
      </c>
      <c r="B89" s="417"/>
      <c r="C89" s="734"/>
      <c r="D89" s="734"/>
      <c r="E89" s="734"/>
      <c r="F89" s="734"/>
      <c r="G89" s="734"/>
      <c r="H89" s="734"/>
      <c r="I89" s="408">
        <f t="shared" si="2"/>
        <v>0</v>
      </c>
      <c r="J89" s="408" t="str">
        <f t="shared" si="3"/>
        <v/>
      </c>
      <c r="K89" s="736"/>
      <c r="L89" s="100"/>
    </row>
    <row r="90" spans="1:12" x14ac:dyDescent="0.25">
      <c r="A90" s="696" t="s">
        <v>174</v>
      </c>
      <c r="B90" s="417"/>
      <c r="C90" s="734">
        <f>76150621+15025881</f>
        <v>91176502</v>
      </c>
      <c r="D90" s="734">
        <v>147944391</v>
      </c>
      <c r="E90" s="734">
        <v>147944391</v>
      </c>
      <c r="F90" s="734">
        <v>5873654.3899999997</v>
      </c>
      <c r="G90" s="734">
        <v>97713233.329999998</v>
      </c>
      <c r="H90" s="734">
        <v>106766725.01000001</v>
      </c>
      <c r="I90" s="408">
        <f t="shared" si="2"/>
        <v>-9053491.6800000072</v>
      </c>
      <c r="J90" s="408">
        <f t="shared" si="3"/>
        <v>-8.4796940986548358E-2</v>
      </c>
      <c r="K90" s="736">
        <v>147944391</v>
      </c>
      <c r="L90" s="100"/>
    </row>
    <row r="91" spans="1:12" x14ac:dyDescent="0.25">
      <c r="A91" s="696" t="s">
        <v>1194</v>
      </c>
      <c r="B91" s="417"/>
      <c r="C91" s="734"/>
      <c r="D91" s="734"/>
      <c r="E91" s="734"/>
      <c r="F91" s="734"/>
      <c r="G91" s="734"/>
      <c r="H91" s="734"/>
      <c r="I91" s="408">
        <f t="shared" si="2"/>
        <v>0</v>
      </c>
      <c r="J91" s="408" t="str">
        <f t="shared" si="3"/>
        <v/>
      </c>
      <c r="K91" s="736"/>
      <c r="L91" s="100"/>
    </row>
    <row r="92" spans="1:12" x14ac:dyDescent="0.25">
      <c r="A92" s="608" t="s">
        <v>120</v>
      </c>
      <c r="B92" s="417"/>
      <c r="C92" s="612">
        <f>SUM(C93:C98)</f>
        <v>0</v>
      </c>
      <c r="D92" s="612">
        <f t="shared" ref="D92:K92" si="25">SUM(D93:D98)</f>
        <v>0</v>
      </c>
      <c r="E92" s="612">
        <f t="shared" si="25"/>
        <v>0</v>
      </c>
      <c r="F92" s="612">
        <f t="shared" si="25"/>
        <v>0</v>
      </c>
      <c r="G92" s="612">
        <f t="shared" si="25"/>
        <v>0</v>
      </c>
      <c r="H92" s="612">
        <f t="shared" si="25"/>
        <v>0</v>
      </c>
      <c r="I92" s="612">
        <f t="shared" si="2"/>
        <v>0</v>
      </c>
      <c r="J92" s="612" t="str">
        <f t="shared" si="3"/>
        <v/>
      </c>
      <c r="K92" s="615">
        <f t="shared" si="25"/>
        <v>0</v>
      </c>
      <c r="L92" s="100"/>
    </row>
    <row r="93" spans="1:12" x14ac:dyDescent="0.25">
      <c r="A93" s="696" t="s">
        <v>1195</v>
      </c>
      <c r="B93" s="417"/>
      <c r="C93" s="734"/>
      <c r="D93" s="734"/>
      <c r="E93" s="734"/>
      <c r="F93" s="734"/>
      <c r="G93" s="734"/>
      <c r="H93" s="734"/>
      <c r="I93" s="408">
        <f t="shared" si="2"/>
        <v>0</v>
      </c>
      <c r="J93" s="408" t="str">
        <f t="shared" si="3"/>
        <v/>
      </c>
      <c r="K93" s="736"/>
      <c r="L93" s="100"/>
    </row>
    <row r="94" spans="1:12" x14ac:dyDescent="0.25">
      <c r="A94" s="696" t="s">
        <v>1196</v>
      </c>
      <c r="B94" s="417"/>
      <c r="C94" s="734"/>
      <c r="D94" s="734"/>
      <c r="E94" s="734"/>
      <c r="F94" s="734"/>
      <c r="G94" s="734"/>
      <c r="H94" s="734"/>
      <c r="I94" s="408">
        <f t="shared" si="2"/>
        <v>0</v>
      </c>
      <c r="J94" s="408" t="str">
        <f t="shared" si="3"/>
        <v/>
      </c>
      <c r="K94" s="736"/>
      <c r="L94" s="100"/>
    </row>
    <row r="95" spans="1:12" x14ac:dyDescent="0.25">
      <c r="A95" s="696" t="s">
        <v>1197</v>
      </c>
      <c r="B95" s="417"/>
      <c r="C95" s="734"/>
      <c r="D95" s="734"/>
      <c r="E95" s="734"/>
      <c r="F95" s="734"/>
      <c r="G95" s="734"/>
      <c r="H95" s="734"/>
      <c r="I95" s="408">
        <f>G95-H95</f>
        <v>0</v>
      </c>
      <c r="J95" s="408" t="str">
        <f>IF(I95=0,"",I95/H95)</f>
        <v/>
      </c>
      <c r="K95" s="736"/>
      <c r="L95" s="100"/>
    </row>
    <row r="96" spans="1:12" x14ac:dyDescent="0.25">
      <c r="A96" s="696" t="s">
        <v>1198</v>
      </c>
      <c r="B96" s="417"/>
      <c r="C96" s="734"/>
      <c r="D96" s="734"/>
      <c r="E96" s="734"/>
      <c r="F96" s="734"/>
      <c r="G96" s="734"/>
      <c r="H96" s="734"/>
      <c r="I96" s="408">
        <f>G96-H96</f>
        <v>0</v>
      </c>
      <c r="J96" s="408" t="str">
        <f>IF(I96=0,"",I96/H96)</f>
        <v/>
      </c>
      <c r="K96" s="736"/>
      <c r="L96" s="100"/>
    </row>
    <row r="97" spans="1:12" x14ac:dyDescent="0.25">
      <c r="A97" s="696" t="s">
        <v>175</v>
      </c>
      <c r="B97" s="417"/>
      <c r="C97" s="734"/>
      <c r="D97" s="734"/>
      <c r="E97" s="734"/>
      <c r="F97" s="734"/>
      <c r="G97" s="734"/>
      <c r="H97" s="734"/>
      <c r="I97" s="408">
        <f t="shared" si="2"/>
        <v>0</v>
      </c>
      <c r="J97" s="408" t="str">
        <f t="shared" si="3"/>
        <v/>
      </c>
      <c r="K97" s="736"/>
      <c r="L97" s="100"/>
    </row>
    <row r="98" spans="1:12" x14ac:dyDescent="0.25">
      <c r="A98" s="696" t="s">
        <v>1199</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498213465</v>
      </c>
      <c r="D99" s="606">
        <f t="shared" ref="D99:I99" si="26">D100+D104+D108+D113</f>
        <v>659801657</v>
      </c>
      <c r="E99" s="606">
        <f t="shared" si="26"/>
        <v>652899656.99999499</v>
      </c>
      <c r="F99" s="606">
        <f t="shared" si="26"/>
        <v>40282670.700000003</v>
      </c>
      <c r="G99" s="606">
        <f t="shared" si="26"/>
        <v>327152582.23000002</v>
      </c>
      <c r="H99" s="606">
        <f t="shared" si="26"/>
        <v>302978608.27000004</v>
      </c>
      <c r="I99" s="606">
        <f t="shared" si="26"/>
        <v>24173973.959999979</v>
      </c>
      <c r="J99" s="606">
        <f t="shared" si="3"/>
        <v>7.9787725272199045E-2</v>
      </c>
      <c r="K99" s="607">
        <f>K100+K104+K108+K113</f>
        <v>659801657</v>
      </c>
      <c r="L99" s="100"/>
    </row>
    <row r="100" spans="1:12" x14ac:dyDescent="0.25">
      <c r="A100" s="608" t="s">
        <v>1200</v>
      </c>
      <c r="B100" s="417"/>
      <c r="C100" s="612">
        <f>SUM(C101:C103)</f>
        <v>459468534</v>
      </c>
      <c r="D100" s="612">
        <f t="shared" ref="D100:K100" si="27">SUM(D101:D103)</f>
        <v>597331000</v>
      </c>
      <c r="E100" s="612">
        <f t="shared" si="27"/>
        <v>590428999.99999499</v>
      </c>
      <c r="F100" s="612">
        <f t="shared" si="27"/>
        <v>37511115.810000002</v>
      </c>
      <c r="G100" s="612">
        <f t="shared" si="27"/>
        <v>306007804.49000001</v>
      </c>
      <c r="H100" s="612">
        <f t="shared" si="27"/>
        <v>282161766.47000003</v>
      </c>
      <c r="I100" s="612">
        <f t="shared" si="2"/>
        <v>23846038.019999981</v>
      </c>
      <c r="J100" s="612">
        <f t="shared" si="3"/>
        <v>8.4511939084898444E-2</v>
      </c>
      <c r="K100" s="615">
        <f t="shared" si="27"/>
        <v>597331000</v>
      </c>
      <c r="L100" s="100"/>
    </row>
    <row r="101" spans="1:12" x14ac:dyDescent="0.25">
      <c r="A101" s="696" t="s">
        <v>1201</v>
      </c>
      <c r="B101" s="417"/>
      <c r="C101" s="734">
        <v>459468534</v>
      </c>
      <c r="D101" s="734">
        <v>597331000</v>
      </c>
      <c r="E101" s="734">
        <v>590428999.99999499</v>
      </c>
      <c r="F101" s="734">
        <v>37511115.810000002</v>
      </c>
      <c r="G101" s="734">
        <v>306007804.49000001</v>
      </c>
      <c r="H101" s="734">
        <v>282161766.47000003</v>
      </c>
      <c r="I101" s="408">
        <f t="shared" si="2"/>
        <v>23846038.019999981</v>
      </c>
      <c r="J101" s="408">
        <f t="shared" si="3"/>
        <v>8.4511939084898444E-2</v>
      </c>
      <c r="K101" s="736">
        <v>597331000</v>
      </c>
      <c r="L101" s="100"/>
    </row>
    <row r="102" spans="1:12" x14ac:dyDescent="0.25">
      <c r="A102" s="696" t="s">
        <v>1202</v>
      </c>
      <c r="B102" s="417"/>
      <c r="C102" s="734"/>
      <c r="D102" s="734"/>
      <c r="E102" s="734"/>
      <c r="F102" s="734"/>
      <c r="G102" s="734"/>
      <c r="H102" s="734"/>
      <c r="I102" s="408">
        <f>G102-H102</f>
        <v>0</v>
      </c>
      <c r="J102" s="408" t="str">
        <f>IF(I102=0,"",I102/H102)</f>
        <v/>
      </c>
      <c r="K102" s="736"/>
      <c r="L102" s="100"/>
    </row>
    <row r="103" spans="1:12" x14ac:dyDescent="0.25">
      <c r="A103" s="696" t="s">
        <v>1203</v>
      </c>
      <c r="B103" s="417"/>
      <c r="C103" s="734"/>
      <c r="D103" s="734"/>
      <c r="E103" s="734"/>
      <c r="F103" s="734"/>
      <c r="G103" s="734"/>
      <c r="H103" s="734"/>
      <c r="I103" s="408">
        <f t="shared" si="2"/>
        <v>0</v>
      </c>
      <c r="J103" s="408" t="str">
        <f t="shared" si="3"/>
        <v/>
      </c>
      <c r="K103" s="736"/>
      <c r="L103" s="100"/>
    </row>
    <row r="104" spans="1:12" x14ac:dyDescent="0.25">
      <c r="A104" s="608" t="s">
        <v>1204</v>
      </c>
      <c r="B104" s="417"/>
      <c r="C104" s="612">
        <f>SUM(C105:C107)</f>
        <v>0</v>
      </c>
      <c r="D104" s="612">
        <f t="shared" ref="D104:K104" si="28">SUM(D105:D107)</f>
        <v>0</v>
      </c>
      <c r="E104" s="612">
        <f t="shared" si="28"/>
        <v>0</v>
      </c>
      <c r="F104" s="612">
        <f t="shared" si="28"/>
        <v>0</v>
      </c>
      <c r="G104" s="612">
        <f t="shared" si="28"/>
        <v>0</v>
      </c>
      <c r="H104" s="612">
        <f t="shared" si="28"/>
        <v>0</v>
      </c>
      <c r="I104" s="612">
        <f t="shared" si="2"/>
        <v>0</v>
      </c>
      <c r="J104" s="612" t="str">
        <f t="shared" si="3"/>
        <v/>
      </c>
      <c r="K104" s="615">
        <f t="shared" si="28"/>
        <v>0</v>
      </c>
      <c r="L104" s="100"/>
    </row>
    <row r="105" spans="1:12" x14ac:dyDescent="0.25">
      <c r="A105" s="696" t="s">
        <v>1205</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c r="D106" s="734"/>
      <c r="E106" s="734"/>
      <c r="F106" s="734"/>
      <c r="G106" s="734"/>
      <c r="H106" s="734"/>
      <c r="I106" s="408">
        <f>G106-H106</f>
        <v>0</v>
      </c>
      <c r="J106" s="408" t="str">
        <f>IF(I106=0,"",I106/H106)</f>
        <v/>
      </c>
      <c r="K106" s="736"/>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0</v>
      </c>
      <c r="D108" s="612">
        <f t="shared" ref="D108:K108" si="29">SUM(D109:D112)</f>
        <v>0</v>
      </c>
      <c r="E108" s="612">
        <f t="shared" si="29"/>
        <v>0</v>
      </c>
      <c r="F108" s="612">
        <f t="shared" si="29"/>
        <v>0</v>
      </c>
      <c r="G108" s="612">
        <f t="shared" si="29"/>
        <v>0</v>
      </c>
      <c r="H108" s="612">
        <f t="shared" si="29"/>
        <v>0</v>
      </c>
      <c r="I108" s="612">
        <f t="shared" si="2"/>
        <v>0</v>
      </c>
      <c r="J108" s="612" t="str">
        <f t="shared" si="3"/>
        <v/>
      </c>
      <c r="K108" s="615">
        <f t="shared" si="29"/>
        <v>0</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c r="D110" s="734"/>
      <c r="E110" s="734"/>
      <c r="F110" s="734"/>
      <c r="G110" s="734"/>
      <c r="H110" s="734"/>
      <c r="I110" s="408">
        <f t="shared" si="2"/>
        <v>0</v>
      </c>
      <c r="J110" s="408" t="str">
        <f t="shared" si="3"/>
        <v/>
      </c>
      <c r="K110" s="736"/>
      <c r="L110" s="100"/>
    </row>
    <row r="111" spans="1:12" x14ac:dyDescent="0.25">
      <c r="A111" s="696" t="s">
        <v>179</v>
      </c>
      <c r="B111" s="417"/>
      <c r="C111" s="734"/>
      <c r="D111" s="734"/>
      <c r="E111" s="734"/>
      <c r="F111" s="734"/>
      <c r="G111" s="734"/>
      <c r="H111" s="734"/>
      <c r="I111" s="408">
        <f>G111-H111</f>
        <v>0</v>
      </c>
      <c r="J111" s="408" t="str">
        <f>IF(I111=0,"",I111/H111)</f>
        <v/>
      </c>
      <c r="K111" s="736"/>
      <c r="L111" s="100"/>
    </row>
    <row r="112" spans="1:12" x14ac:dyDescent="0.25">
      <c r="A112" s="696" t="s">
        <v>1206</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0">SUM(C114:C117)</f>
        <v>38744931</v>
      </c>
      <c r="D113" s="612">
        <f t="shared" si="30"/>
        <v>62470657</v>
      </c>
      <c r="E113" s="612">
        <f t="shared" si="30"/>
        <v>62470657</v>
      </c>
      <c r="F113" s="612">
        <f t="shared" si="30"/>
        <v>2771554.89</v>
      </c>
      <c r="G113" s="612">
        <f t="shared" si="30"/>
        <v>21144777.739999998</v>
      </c>
      <c r="H113" s="612">
        <f t="shared" si="30"/>
        <v>20816841.800000001</v>
      </c>
      <c r="I113" s="612">
        <f t="shared" si="2"/>
        <v>327935.93999999762</v>
      </c>
      <c r="J113" s="612">
        <f t="shared" si="3"/>
        <v>1.5753395406982323E-2</v>
      </c>
      <c r="K113" s="612">
        <f>SUM(K114:K117)</f>
        <v>62470657</v>
      </c>
      <c r="L113" s="100"/>
    </row>
    <row r="114" spans="1:12" x14ac:dyDescent="0.25">
      <c r="A114" s="696" t="s">
        <v>1207</v>
      </c>
      <c r="B114" s="417"/>
      <c r="C114" s="734"/>
      <c r="D114" s="734"/>
      <c r="E114" s="734"/>
      <c r="F114" s="734"/>
      <c r="G114" s="734"/>
      <c r="H114" s="734"/>
      <c r="I114" s="408">
        <f>G114-H114</f>
        <v>0</v>
      </c>
      <c r="J114" s="408" t="str">
        <f>IF(I114=0,"",I114/H114)</f>
        <v/>
      </c>
      <c r="K114" s="736"/>
      <c r="L114" s="100"/>
    </row>
    <row r="115" spans="1:12" x14ac:dyDescent="0.25">
      <c r="A115" s="696" t="s">
        <v>1208</v>
      </c>
      <c r="B115" s="417"/>
      <c r="C115" s="734"/>
      <c r="D115" s="734"/>
      <c r="E115" s="734"/>
      <c r="F115" s="734"/>
      <c r="G115" s="734"/>
      <c r="H115" s="734"/>
      <c r="I115" s="408">
        <f>G115-H115</f>
        <v>0</v>
      </c>
      <c r="J115" s="408" t="str">
        <f>IF(I115=0,"",I115/H115)</f>
        <v/>
      </c>
      <c r="K115" s="736"/>
      <c r="L115" s="100"/>
    </row>
    <row r="116" spans="1:12" x14ac:dyDescent="0.25">
      <c r="A116" s="696" t="s">
        <v>1209</v>
      </c>
      <c r="B116" s="417"/>
      <c r="C116" s="734">
        <v>38744931</v>
      </c>
      <c r="D116" s="734">
        <v>62470657</v>
      </c>
      <c r="E116" s="734">
        <v>62470657</v>
      </c>
      <c r="F116" s="734">
        <v>2771554.89</v>
      </c>
      <c r="G116" s="734">
        <v>21144777.739999998</v>
      </c>
      <c r="H116" s="734">
        <v>20816841.800000001</v>
      </c>
      <c r="I116" s="408">
        <f t="shared" si="2"/>
        <v>327935.93999999762</v>
      </c>
      <c r="J116" s="408">
        <f t="shared" si="3"/>
        <v>1.5753395406982323E-2</v>
      </c>
      <c r="K116" s="736">
        <v>62470657</v>
      </c>
      <c r="L116" s="100"/>
    </row>
    <row r="117" spans="1:12" x14ac:dyDescent="0.25">
      <c r="A117" s="696" t="s">
        <v>1210</v>
      </c>
      <c r="B117" s="417"/>
      <c r="C117" s="734"/>
      <c r="D117" s="734"/>
      <c r="E117" s="734"/>
      <c r="F117" s="734"/>
      <c r="G117" s="734"/>
      <c r="H117" s="734"/>
      <c r="I117" s="408">
        <f>G117-H117</f>
        <v>0</v>
      </c>
      <c r="J117" s="408" t="str">
        <f>IF(I117=0,"",I117/H117)</f>
        <v/>
      </c>
      <c r="K117" s="736"/>
      <c r="L117" s="100"/>
    </row>
    <row r="118" spans="1:12" x14ac:dyDescent="0.25">
      <c r="A118" s="414" t="s">
        <v>729</v>
      </c>
      <c r="B118" s="417"/>
      <c r="C118" s="612">
        <f>SUM(C119:C124)</f>
        <v>0</v>
      </c>
      <c r="D118" s="612">
        <f t="shared" ref="D118:K118" si="31">SUM(D119:D124)</f>
        <v>0</v>
      </c>
      <c r="E118" s="612">
        <f t="shared" si="31"/>
        <v>0</v>
      </c>
      <c r="F118" s="612">
        <f t="shared" si="31"/>
        <v>0</v>
      </c>
      <c r="G118" s="612">
        <f t="shared" si="31"/>
        <v>0</v>
      </c>
      <c r="H118" s="612">
        <f t="shared" si="31"/>
        <v>0</v>
      </c>
      <c r="I118" s="612">
        <f t="shared" si="2"/>
        <v>0</v>
      </c>
      <c r="J118" s="612" t="str">
        <f t="shared" si="3"/>
        <v/>
      </c>
      <c r="K118" s="615">
        <f t="shared" si="31"/>
        <v>0</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c r="D120" s="734"/>
      <c r="E120" s="734"/>
      <c r="F120" s="734"/>
      <c r="G120" s="734"/>
      <c r="H120" s="734"/>
      <c r="I120" s="408">
        <f t="shared" si="2"/>
        <v>0</v>
      </c>
      <c r="J120" s="408" t="str">
        <f t="shared" si="3"/>
        <v/>
      </c>
      <c r="K120" s="736"/>
      <c r="L120" s="100"/>
    </row>
    <row r="121" spans="1:12" x14ac:dyDescent="0.25">
      <c r="A121" s="608" t="s">
        <v>1211</v>
      </c>
      <c r="B121" s="417"/>
      <c r="C121" s="734"/>
      <c r="D121" s="734"/>
      <c r="E121" s="734"/>
      <c r="F121" s="734"/>
      <c r="G121" s="734"/>
      <c r="H121" s="734"/>
      <c r="I121" s="408">
        <f>G121-H121</f>
        <v>0</v>
      </c>
      <c r="J121" s="408" t="str">
        <f>IF(I121=0,"",I121/H121)</f>
        <v/>
      </c>
      <c r="K121" s="736"/>
      <c r="L121" s="100"/>
    </row>
    <row r="122" spans="1:12" x14ac:dyDescent="0.25">
      <c r="A122" s="608" t="s">
        <v>1212</v>
      </c>
      <c r="B122" s="417"/>
      <c r="C122" s="734"/>
      <c r="D122" s="734"/>
      <c r="E122" s="734"/>
      <c r="F122" s="734"/>
      <c r="G122" s="734"/>
      <c r="H122" s="734"/>
      <c r="I122" s="408">
        <f t="shared" si="2"/>
        <v>0</v>
      </c>
      <c r="J122" s="408" t="str">
        <f t="shared" si="3"/>
        <v/>
      </c>
      <c r="K122" s="736"/>
      <c r="L122" s="100"/>
    </row>
    <row r="123" spans="1:12" x14ac:dyDescent="0.25">
      <c r="A123" s="608" t="s">
        <v>448</v>
      </c>
      <c r="B123" s="415"/>
      <c r="C123" s="734"/>
      <c r="D123" s="734"/>
      <c r="E123" s="734"/>
      <c r="F123" s="734"/>
      <c r="G123" s="734"/>
      <c r="H123" s="734"/>
      <c r="I123" s="408">
        <f t="shared" si="2"/>
        <v>0</v>
      </c>
      <c r="J123" s="408" t="str">
        <f t="shared" si="3"/>
        <v/>
      </c>
      <c r="K123" s="736"/>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2">C6+C26+C75+C99+C118</f>
        <v>1135353414.5699999</v>
      </c>
      <c r="D125" s="617">
        <f t="shared" si="32"/>
        <v>1359176307</v>
      </c>
      <c r="E125" s="617">
        <f t="shared" si="32"/>
        <v>1353213413.269995</v>
      </c>
      <c r="F125" s="617">
        <f t="shared" si="32"/>
        <v>187292374.67000002</v>
      </c>
      <c r="G125" s="617">
        <f t="shared" si="32"/>
        <v>796670404.41000009</v>
      </c>
      <c r="H125" s="617">
        <f t="shared" si="32"/>
        <v>741172551.39999998</v>
      </c>
      <c r="I125" s="617">
        <f>G125-H125</f>
        <v>55497853.01000011</v>
      </c>
      <c r="J125" s="617">
        <f>IF(I125=0,"",I125/H125)</f>
        <v>7.4878451590213752E-2</v>
      </c>
      <c r="K125" s="618">
        <f>K6+K26+K75+K99+K118</f>
        <v>1359176179</v>
      </c>
      <c r="L125" s="100"/>
    </row>
    <row r="126" spans="1:12" x14ac:dyDescent="0.25">
      <c r="A126" s="619"/>
      <c r="B126" s="415"/>
      <c r="C126" s="44"/>
      <c r="D126" s="44"/>
      <c r="E126" s="44"/>
      <c r="F126" s="44"/>
      <c r="G126" s="44"/>
      <c r="H126" s="44"/>
      <c r="I126" s="47"/>
      <c r="J126" s="47"/>
      <c r="K126" s="144"/>
      <c r="L126" s="100"/>
    </row>
    <row r="127" spans="1:12" x14ac:dyDescent="0.25">
      <c r="A127" s="620" t="s">
        <v>1213</v>
      </c>
      <c r="B127" s="621"/>
      <c r="C127" s="44"/>
      <c r="D127" s="44"/>
      <c r="E127" s="44"/>
      <c r="F127" s="44"/>
      <c r="G127" s="44"/>
      <c r="H127" s="44"/>
      <c r="I127" s="47"/>
      <c r="J127" s="47"/>
      <c r="K127" s="144"/>
      <c r="L127" s="100"/>
    </row>
    <row r="128" spans="1:12" x14ac:dyDescent="0.25">
      <c r="A128" s="414" t="str">
        <f t="shared" ref="A128:A159" si="33">A6</f>
        <v>Municipal governance and administration</v>
      </c>
      <c r="B128" s="621"/>
      <c r="C128" s="606">
        <f t="shared" ref="C128:H128" si="34">C129+C132+C146</f>
        <v>312355428.33000004</v>
      </c>
      <c r="D128" s="606">
        <f t="shared" si="34"/>
        <v>288608919.03999996</v>
      </c>
      <c r="E128" s="606">
        <f t="shared" si="34"/>
        <v>266187849.24000001</v>
      </c>
      <c r="F128" s="606">
        <f t="shared" si="34"/>
        <v>26849726.629999999</v>
      </c>
      <c r="G128" s="606">
        <f t="shared" si="34"/>
        <v>123004977.16999999</v>
      </c>
      <c r="H128" s="606">
        <f t="shared" si="34"/>
        <v>110655440.22</v>
      </c>
      <c r="I128" s="606">
        <f t="shared" ref="I128:I244" si="35">G128-H128</f>
        <v>12349536.949999988</v>
      </c>
      <c r="J128" s="606">
        <f t="shared" ref="J128:J244" si="36">IF(I128=0,"",I128/H128)</f>
        <v>0.11160352284033405</v>
      </c>
      <c r="K128" s="607">
        <f>K129+K132+K146</f>
        <v>288608919.03999996</v>
      </c>
      <c r="L128" s="100"/>
    </row>
    <row r="129" spans="1:12" x14ac:dyDescent="0.25">
      <c r="A129" s="608" t="str">
        <f t="shared" si="33"/>
        <v>Executive and council</v>
      </c>
      <c r="B129" s="621"/>
      <c r="C129" s="609">
        <f t="shared" ref="C129:K129" si="37">SUM(C130:C131)</f>
        <v>39479040.049999997</v>
      </c>
      <c r="D129" s="609">
        <f t="shared" si="37"/>
        <v>45329387</v>
      </c>
      <c r="E129" s="609">
        <f t="shared" si="37"/>
        <v>41937927.629999995</v>
      </c>
      <c r="F129" s="609">
        <f t="shared" si="37"/>
        <v>3066771.7800000003</v>
      </c>
      <c r="G129" s="609">
        <f t="shared" si="37"/>
        <v>19368391.509999998</v>
      </c>
      <c r="H129" s="609">
        <f t="shared" si="37"/>
        <v>18134481.870000001</v>
      </c>
      <c r="I129" s="609">
        <f t="shared" si="35"/>
        <v>1233909.6399999969</v>
      </c>
      <c r="J129" s="609">
        <f t="shared" si="36"/>
        <v>6.8042177816023633E-2</v>
      </c>
      <c r="K129" s="611">
        <f t="shared" si="37"/>
        <v>45329387</v>
      </c>
      <c r="L129" s="100"/>
    </row>
    <row r="130" spans="1:12" x14ac:dyDescent="0.25">
      <c r="A130" s="696" t="str">
        <f t="shared" si="33"/>
        <v>Mayor and Council</v>
      </c>
      <c r="B130" s="621"/>
      <c r="C130" s="734">
        <v>36394995.489999995</v>
      </c>
      <c r="D130" s="734">
        <v>41214570</v>
      </c>
      <c r="E130" s="734">
        <v>38785779.939999998</v>
      </c>
      <c r="F130" s="734">
        <v>2787638.6900000004</v>
      </c>
      <c r="G130" s="734">
        <v>17955963.41</v>
      </c>
      <c r="H130" s="734">
        <v>16688462.260000002</v>
      </c>
      <c r="I130" s="408">
        <f t="shared" si="35"/>
        <v>1267501.1499999985</v>
      </c>
      <c r="J130" s="408">
        <f t="shared" si="36"/>
        <v>7.595074550625483E-2</v>
      </c>
      <c r="K130" s="736">
        <v>41214570</v>
      </c>
      <c r="L130" s="100"/>
    </row>
    <row r="131" spans="1:12" ht="18.600000000000001" customHeight="1" x14ac:dyDescent="0.25">
      <c r="A131" s="696" t="str">
        <f t="shared" si="33"/>
        <v>Municipal Manager, Town Secretary and Chief Executive</v>
      </c>
      <c r="B131" s="621"/>
      <c r="C131" s="734">
        <v>3084044.56</v>
      </c>
      <c r="D131" s="734">
        <v>4114817</v>
      </c>
      <c r="E131" s="734">
        <v>3152147.69</v>
      </c>
      <c r="F131" s="734">
        <v>279133.08999999997</v>
      </c>
      <c r="G131" s="734">
        <v>1412428.0999999996</v>
      </c>
      <c r="H131" s="734">
        <v>1446019.6099999999</v>
      </c>
      <c r="I131" s="408">
        <f t="shared" si="35"/>
        <v>-33591.510000000242</v>
      </c>
      <c r="J131" s="408">
        <f t="shared" si="36"/>
        <v>-2.3230328114291786E-2</v>
      </c>
      <c r="K131" s="736">
        <v>4114817</v>
      </c>
      <c r="L131" s="100"/>
    </row>
    <row r="132" spans="1:12" x14ac:dyDescent="0.25">
      <c r="A132" s="608" t="str">
        <f t="shared" si="33"/>
        <v>Finance and administration</v>
      </c>
      <c r="B132" s="621"/>
      <c r="C132" s="609">
        <f t="shared" ref="C132:H132" si="38">SUM(C133:C145)</f>
        <v>268538658.74000001</v>
      </c>
      <c r="D132" s="609">
        <f t="shared" si="38"/>
        <v>237515265.03999999</v>
      </c>
      <c r="E132" s="609">
        <f t="shared" si="38"/>
        <v>218734709.61000001</v>
      </c>
      <c r="F132" s="609">
        <f t="shared" si="38"/>
        <v>23329487.209999997</v>
      </c>
      <c r="G132" s="609">
        <f t="shared" si="38"/>
        <v>101145238.93999998</v>
      </c>
      <c r="H132" s="609">
        <f t="shared" si="38"/>
        <v>90345881.329999998</v>
      </c>
      <c r="I132" s="609">
        <f t="shared" si="35"/>
        <v>10799357.609999985</v>
      </c>
      <c r="J132" s="609">
        <f t="shared" si="36"/>
        <v>0.11953348012129004</v>
      </c>
      <c r="K132" s="609">
        <f>SUM(K133:K145)</f>
        <v>237515265.03999999</v>
      </c>
      <c r="L132" s="100"/>
    </row>
    <row r="133" spans="1:12" x14ac:dyDescent="0.25">
      <c r="A133" s="696" t="str">
        <f t="shared" si="33"/>
        <v>Administrative and Corporate Support</v>
      </c>
      <c r="B133" s="415"/>
      <c r="C133" s="734">
        <v>25662492.789999992</v>
      </c>
      <c r="D133" s="734">
        <v>28652494.329999998</v>
      </c>
      <c r="E133" s="734">
        <v>27407834.229999997</v>
      </c>
      <c r="F133" s="734">
        <v>2021558.8699999996</v>
      </c>
      <c r="G133" s="734">
        <v>13195109.820000006</v>
      </c>
      <c r="H133" s="734">
        <v>11817060.760000002</v>
      </c>
      <c r="I133" s="408">
        <f t="shared" si="35"/>
        <v>1378049.0600000042</v>
      </c>
      <c r="J133" s="408">
        <f t="shared" si="36"/>
        <v>0.11661521320636792</v>
      </c>
      <c r="K133" s="736">
        <v>28652494.329999998</v>
      </c>
      <c r="L133" s="100"/>
    </row>
    <row r="134" spans="1:12" x14ac:dyDescent="0.25">
      <c r="A134" s="696" t="str">
        <f t="shared" si="33"/>
        <v>Asset Management</v>
      </c>
      <c r="B134" s="415"/>
      <c r="C134" s="734"/>
      <c r="D134" s="734"/>
      <c r="E134" s="734"/>
      <c r="F134" s="734"/>
      <c r="G134" s="734"/>
      <c r="H134" s="734"/>
      <c r="I134" s="408">
        <f t="shared" si="35"/>
        <v>0</v>
      </c>
      <c r="J134" s="408" t="str">
        <f t="shared" si="36"/>
        <v/>
      </c>
      <c r="K134" s="736"/>
      <c r="L134" s="100"/>
    </row>
    <row r="135" spans="1:12" x14ac:dyDescent="0.25">
      <c r="A135" s="696" t="str">
        <f t="shared" si="33"/>
        <v>Finance</v>
      </c>
      <c r="B135" s="415"/>
      <c r="C135" s="734">
        <v>175469385.33000001</v>
      </c>
      <c r="D135" s="734">
        <v>107525375</v>
      </c>
      <c r="E135" s="734">
        <v>96356497</v>
      </c>
      <c r="F135" s="734">
        <v>12604754.059999997</v>
      </c>
      <c r="G135" s="734">
        <v>40596853.979999982</v>
      </c>
      <c r="H135" s="734">
        <v>36394310.490000002</v>
      </c>
      <c r="I135" s="408">
        <f t="shared" si="35"/>
        <v>4202543.4899999797</v>
      </c>
      <c r="J135" s="408">
        <f t="shared" si="36"/>
        <v>0.11547254044432866</v>
      </c>
      <c r="K135" s="736">
        <v>107525375</v>
      </c>
      <c r="L135" s="100"/>
    </row>
    <row r="136" spans="1:12" x14ac:dyDescent="0.25">
      <c r="A136" s="696" t="str">
        <f t="shared" si="33"/>
        <v>Fleet Management</v>
      </c>
      <c r="B136" s="415"/>
      <c r="C136" s="734">
        <v>4432754.469999996</v>
      </c>
      <c r="D136" s="734">
        <v>37705901.710000001</v>
      </c>
      <c r="E136" s="734">
        <v>33891492.710000001</v>
      </c>
      <c r="F136" s="734">
        <v>1647351.5899999999</v>
      </c>
      <c r="G136" s="734">
        <v>9176462.3300000001</v>
      </c>
      <c r="H136" s="734">
        <v>9559736.5499999989</v>
      </c>
      <c r="I136" s="408">
        <f t="shared" si="35"/>
        <v>-383274.21999999881</v>
      </c>
      <c r="J136" s="408">
        <f t="shared" si="36"/>
        <v>-4.0092550458411834E-2</v>
      </c>
      <c r="K136" s="736">
        <v>37705901.710000001</v>
      </c>
      <c r="L136" s="100"/>
    </row>
    <row r="137" spans="1:12" x14ac:dyDescent="0.25">
      <c r="A137" s="696" t="str">
        <f t="shared" si="33"/>
        <v>Human Resources</v>
      </c>
      <c r="B137" s="415"/>
      <c r="C137" s="734">
        <v>9556065.870000001</v>
      </c>
      <c r="D137" s="734">
        <v>13353482</v>
      </c>
      <c r="E137" s="734">
        <v>13070163.170000002</v>
      </c>
      <c r="F137" s="734">
        <v>1138311.56</v>
      </c>
      <c r="G137" s="734">
        <v>7010947.1699999999</v>
      </c>
      <c r="H137" s="734">
        <v>6163742.5499999998</v>
      </c>
      <c r="I137" s="408">
        <f t="shared" si="35"/>
        <v>847204.62000000011</v>
      </c>
      <c r="J137" s="408">
        <f t="shared" si="36"/>
        <v>0.13744970902459255</v>
      </c>
      <c r="K137" s="736">
        <v>13353482</v>
      </c>
      <c r="L137" s="100"/>
    </row>
    <row r="138" spans="1:12" x14ac:dyDescent="0.25">
      <c r="A138" s="696" t="str">
        <f t="shared" si="33"/>
        <v>Information Technology</v>
      </c>
      <c r="B138" s="415"/>
      <c r="C138" s="734">
        <v>10598289.42</v>
      </c>
      <c r="D138" s="734">
        <v>17560754</v>
      </c>
      <c r="E138" s="734">
        <v>16013149</v>
      </c>
      <c r="F138" s="734">
        <v>774251.23999999987</v>
      </c>
      <c r="G138" s="734">
        <v>6099596.5700000012</v>
      </c>
      <c r="H138" s="734">
        <v>5070934.41</v>
      </c>
      <c r="I138" s="408">
        <f t="shared" si="35"/>
        <v>1028662.1600000011</v>
      </c>
      <c r="J138" s="408">
        <f t="shared" si="36"/>
        <v>0.20285455831798091</v>
      </c>
      <c r="K138" s="736">
        <v>17560754</v>
      </c>
      <c r="L138" s="100"/>
    </row>
    <row r="139" spans="1:12" x14ac:dyDescent="0.25">
      <c r="A139" s="696" t="str">
        <f t="shared" si="33"/>
        <v>Legal Services</v>
      </c>
      <c r="B139" s="415"/>
      <c r="C139" s="734">
        <v>22170045.860000003</v>
      </c>
      <c r="D139" s="734">
        <v>15447452</v>
      </c>
      <c r="E139" s="734">
        <v>15315876</v>
      </c>
      <c r="F139" s="734">
        <v>3731283.7600000002</v>
      </c>
      <c r="G139" s="734">
        <v>16197630.75</v>
      </c>
      <c r="H139" s="734">
        <v>13257441.439999999</v>
      </c>
      <c r="I139" s="408">
        <f t="shared" si="35"/>
        <v>2940189.3100000005</v>
      </c>
      <c r="J139" s="408">
        <f t="shared" si="36"/>
        <v>0.22177652628575373</v>
      </c>
      <c r="K139" s="736">
        <v>15447452</v>
      </c>
      <c r="L139" s="100"/>
    </row>
    <row r="140" spans="1:12" ht="22.5" x14ac:dyDescent="0.25">
      <c r="A140" s="696" t="str">
        <f t="shared" si="33"/>
        <v>Marketing, Customer Relations, Publicity and Media Co-ordination</v>
      </c>
      <c r="B140" s="415"/>
      <c r="C140" s="734">
        <v>3887705.85</v>
      </c>
      <c r="D140" s="734">
        <v>3817572</v>
      </c>
      <c r="E140" s="734">
        <v>3557663.5</v>
      </c>
      <c r="F140" s="734">
        <v>318709.73</v>
      </c>
      <c r="G140" s="734">
        <v>1807894.23</v>
      </c>
      <c r="H140" s="734">
        <v>1909642.75</v>
      </c>
      <c r="I140" s="408">
        <f t="shared" si="35"/>
        <v>-101748.52000000002</v>
      </c>
      <c r="J140" s="408">
        <f t="shared" si="36"/>
        <v>-5.3281442301184354E-2</v>
      </c>
      <c r="K140" s="736">
        <v>3817572</v>
      </c>
      <c r="L140" s="100"/>
    </row>
    <row r="141" spans="1:12" x14ac:dyDescent="0.25">
      <c r="A141" s="696" t="str">
        <f t="shared" si="33"/>
        <v>Property Services</v>
      </c>
      <c r="B141" s="415"/>
      <c r="C141" s="734">
        <v>10550600.58</v>
      </c>
      <c r="D141" s="734">
        <v>7190800</v>
      </c>
      <c r="E141" s="734">
        <v>6914282</v>
      </c>
      <c r="F141" s="734">
        <v>566807.55000000005</v>
      </c>
      <c r="G141" s="734">
        <v>3543519.08</v>
      </c>
      <c r="H141" s="734">
        <v>3256805.62</v>
      </c>
      <c r="I141" s="408">
        <f t="shared" si="35"/>
        <v>286713.45999999996</v>
      </c>
      <c r="J141" s="408">
        <f t="shared" si="36"/>
        <v>8.8035177242171414E-2</v>
      </c>
      <c r="K141" s="736">
        <v>7190800</v>
      </c>
      <c r="L141" s="100"/>
    </row>
    <row r="142" spans="1:12" x14ac:dyDescent="0.25">
      <c r="A142" s="696" t="str">
        <f t="shared" si="33"/>
        <v>Risk Management</v>
      </c>
      <c r="B142" s="415"/>
      <c r="C142" s="734">
        <v>2020230.06</v>
      </c>
      <c r="D142" s="734">
        <v>2096278</v>
      </c>
      <c r="E142" s="734">
        <v>2062000</v>
      </c>
      <c r="F142" s="734">
        <v>155681.21</v>
      </c>
      <c r="G142" s="734">
        <v>954870.41</v>
      </c>
      <c r="H142" s="734">
        <v>913315.28</v>
      </c>
      <c r="I142" s="408">
        <f t="shared" si="35"/>
        <v>41555.130000000005</v>
      </c>
      <c r="J142" s="408">
        <f t="shared" si="36"/>
        <v>4.5499216875031376E-2</v>
      </c>
      <c r="K142" s="736">
        <v>2096278</v>
      </c>
      <c r="L142" s="100"/>
    </row>
    <row r="143" spans="1:12" x14ac:dyDescent="0.25">
      <c r="A143" s="696" t="str">
        <f t="shared" si="33"/>
        <v>Security Services</v>
      </c>
      <c r="B143" s="415"/>
      <c r="C143" s="734"/>
      <c r="D143" s="734"/>
      <c r="E143" s="734"/>
      <c r="F143" s="734"/>
      <c r="G143" s="734"/>
      <c r="H143" s="734"/>
      <c r="I143" s="408">
        <f t="shared" si="35"/>
        <v>0</v>
      </c>
      <c r="J143" s="408" t="str">
        <f t="shared" si="36"/>
        <v/>
      </c>
      <c r="K143" s="736"/>
      <c r="L143" s="100"/>
    </row>
    <row r="144" spans="1:12" x14ac:dyDescent="0.25">
      <c r="A144" s="696" t="str">
        <f t="shared" si="33"/>
        <v xml:space="preserve">Supply Chain Management </v>
      </c>
      <c r="B144" s="415"/>
      <c r="C144" s="734">
        <v>4191088.5099999993</v>
      </c>
      <c r="D144" s="734">
        <v>4165156</v>
      </c>
      <c r="E144" s="734">
        <v>4145752</v>
      </c>
      <c r="F144" s="734">
        <v>370777.6399999999</v>
      </c>
      <c r="G144" s="734">
        <v>2562354.6</v>
      </c>
      <c r="H144" s="734">
        <v>2002891.48</v>
      </c>
      <c r="I144" s="408">
        <f t="shared" si="35"/>
        <v>559463.12000000011</v>
      </c>
      <c r="J144" s="408">
        <f t="shared" si="36"/>
        <v>0.27932772473524131</v>
      </c>
      <c r="K144" s="736">
        <v>4165156</v>
      </c>
      <c r="L144" s="100"/>
    </row>
    <row r="145" spans="1:12" x14ac:dyDescent="0.25">
      <c r="A145" s="696" t="str">
        <f t="shared" si="33"/>
        <v>Valuation Service</v>
      </c>
      <c r="B145" s="415"/>
      <c r="C145" s="734"/>
      <c r="D145" s="734"/>
      <c r="E145" s="734"/>
      <c r="F145" s="734"/>
      <c r="G145" s="734"/>
      <c r="H145" s="734"/>
      <c r="I145" s="408">
        <f t="shared" si="35"/>
        <v>0</v>
      </c>
      <c r="J145" s="408" t="str">
        <f t="shared" si="36"/>
        <v/>
      </c>
      <c r="K145" s="736"/>
      <c r="L145" s="100"/>
    </row>
    <row r="146" spans="1:12" x14ac:dyDescent="0.25">
      <c r="A146" s="608" t="str">
        <f t="shared" si="33"/>
        <v>Internal audit</v>
      </c>
      <c r="B146" s="621"/>
      <c r="C146" s="609">
        <f t="shared" ref="C146:H146" si="39">SUM(C147:C147)</f>
        <v>4337729.540000001</v>
      </c>
      <c r="D146" s="609">
        <f t="shared" si="39"/>
        <v>5764267</v>
      </c>
      <c r="E146" s="609">
        <f t="shared" si="39"/>
        <v>5515212</v>
      </c>
      <c r="F146" s="609">
        <f t="shared" si="39"/>
        <v>453467.63999999996</v>
      </c>
      <c r="G146" s="609">
        <f t="shared" si="39"/>
        <v>2491346.7200000002</v>
      </c>
      <c r="H146" s="609">
        <f t="shared" si="39"/>
        <v>2175077.02</v>
      </c>
      <c r="I146" s="609">
        <f t="shared" si="35"/>
        <v>316269.70000000019</v>
      </c>
      <c r="J146" s="609">
        <f t="shared" si="36"/>
        <v>0.14540620727076606</v>
      </c>
      <c r="K146" s="611">
        <f>SUM(K147:K147)</f>
        <v>5764267</v>
      </c>
      <c r="L146" s="100"/>
    </row>
    <row r="147" spans="1:12" x14ac:dyDescent="0.25">
      <c r="A147" s="696" t="str">
        <f t="shared" si="33"/>
        <v>Governance Function</v>
      </c>
      <c r="B147" s="621"/>
      <c r="C147" s="734">
        <v>4337729.540000001</v>
      </c>
      <c r="D147" s="734">
        <v>5764267</v>
      </c>
      <c r="E147" s="734">
        <v>5515212</v>
      </c>
      <c r="F147" s="734">
        <v>453467.63999999996</v>
      </c>
      <c r="G147" s="734">
        <v>2491346.7200000002</v>
      </c>
      <c r="H147" s="734">
        <v>2175077.02</v>
      </c>
      <c r="I147" s="408">
        <f t="shared" si="35"/>
        <v>316269.70000000019</v>
      </c>
      <c r="J147" s="408">
        <f t="shared" si="36"/>
        <v>0.14540620727076606</v>
      </c>
      <c r="K147" s="736">
        <v>5764267</v>
      </c>
      <c r="L147" s="100"/>
    </row>
    <row r="148" spans="1:12" x14ac:dyDescent="0.25">
      <c r="A148" s="414" t="str">
        <f t="shared" si="33"/>
        <v>Community and public safety</v>
      </c>
      <c r="B148" s="621"/>
      <c r="C148" s="606">
        <f t="shared" ref="C148:H148" si="40">C149+C171+C177+C186+C189</f>
        <v>110086623.64999999</v>
      </c>
      <c r="D148" s="606">
        <f t="shared" si="40"/>
        <v>124347604</v>
      </c>
      <c r="E148" s="606">
        <f t="shared" si="40"/>
        <v>111906251.72</v>
      </c>
      <c r="F148" s="606">
        <f t="shared" si="40"/>
        <v>6029010.9200000009</v>
      </c>
      <c r="G148" s="606">
        <f t="shared" si="40"/>
        <v>39403596.560000002</v>
      </c>
      <c r="H148" s="606">
        <f t="shared" si="40"/>
        <v>36646270.630000003</v>
      </c>
      <c r="I148" s="606">
        <f t="shared" si="35"/>
        <v>2757325.9299999997</v>
      </c>
      <c r="J148" s="606">
        <f t="shared" si="36"/>
        <v>7.5241651676903512E-2</v>
      </c>
      <c r="K148" s="607">
        <f>K149+K171+K177+K186+K189</f>
        <v>124347604</v>
      </c>
      <c r="L148" s="100"/>
    </row>
    <row r="149" spans="1:12" x14ac:dyDescent="0.25">
      <c r="A149" s="608" t="str">
        <f t="shared" si="33"/>
        <v>Community and social services</v>
      </c>
      <c r="B149" s="621"/>
      <c r="C149" s="612">
        <f t="shared" ref="C149:H149" si="41">SUM(C150:C170)</f>
        <v>11067663.879999999</v>
      </c>
      <c r="D149" s="612">
        <f t="shared" si="41"/>
        <v>12614844</v>
      </c>
      <c r="E149" s="612">
        <f t="shared" si="41"/>
        <v>12318705.5</v>
      </c>
      <c r="F149" s="612">
        <f t="shared" si="41"/>
        <v>982128.24000000022</v>
      </c>
      <c r="G149" s="612">
        <f t="shared" si="41"/>
        <v>6110884.1700000018</v>
      </c>
      <c r="H149" s="612">
        <f t="shared" si="41"/>
        <v>6146232.4399999995</v>
      </c>
      <c r="I149" s="612">
        <f t="shared" si="35"/>
        <v>-35348.26999999769</v>
      </c>
      <c r="J149" s="612">
        <f t="shared" si="36"/>
        <v>-5.7512094352223514E-3</v>
      </c>
      <c r="K149" s="615">
        <f>SUM(K150:K170)</f>
        <v>12614844</v>
      </c>
      <c r="L149" s="100"/>
    </row>
    <row r="150" spans="1:12" x14ac:dyDescent="0.25">
      <c r="A150" s="696" t="str">
        <f t="shared" si="33"/>
        <v>Aged Care</v>
      </c>
      <c r="B150" s="621"/>
      <c r="C150" s="734"/>
      <c r="D150" s="734"/>
      <c r="E150" s="734"/>
      <c r="F150" s="734"/>
      <c r="G150" s="734"/>
      <c r="H150" s="734"/>
      <c r="I150" s="408">
        <f t="shared" si="35"/>
        <v>0</v>
      </c>
      <c r="J150" s="408" t="str">
        <f t="shared" si="36"/>
        <v/>
      </c>
      <c r="K150" s="736"/>
      <c r="L150" s="100"/>
    </row>
    <row r="151" spans="1:12" x14ac:dyDescent="0.25">
      <c r="A151" s="696" t="str">
        <f t="shared" si="33"/>
        <v>Agricultural</v>
      </c>
      <c r="B151" s="621"/>
      <c r="C151" s="734"/>
      <c r="D151" s="734"/>
      <c r="E151" s="734"/>
      <c r="F151" s="734"/>
      <c r="G151" s="734"/>
      <c r="H151" s="734"/>
      <c r="I151" s="408">
        <f t="shared" si="35"/>
        <v>0</v>
      </c>
      <c r="J151" s="408" t="str">
        <f t="shared" si="36"/>
        <v/>
      </c>
      <c r="K151" s="736"/>
      <c r="L151" s="100"/>
    </row>
    <row r="152" spans="1:12" x14ac:dyDescent="0.25">
      <c r="A152" s="696" t="str">
        <f t="shared" si="33"/>
        <v>Animal Care and Diseases</v>
      </c>
      <c r="B152" s="621"/>
      <c r="C152" s="734"/>
      <c r="D152" s="734"/>
      <c r="E152" s="734"/>
      <c r="F152" s="734"/>
      <c r="G152" s="734"/>
      <c r="H152" s="734"/>
      <c r="I152" s="408">
        <f t="shared" si="35"/>
        <v>0</v>
      </c>
      <c r="J152" s="408" t="str">
        <f t="shared" si="36"/>
        <v/>
      </c>
      <c r="K152" s="736"/>
      <c r="L152" s="100"/>
    </row>
    <row r="153" spans="1:12" ht="22.5" x14ac:dyDescent="0.25">
      <c r="A153" s="696" t="str">
        <f t="shared" si="33"/>
        <v>Cemeteries, Funeral Parlours and Crematoriums</v>
      </c>
      <c r="B153" s="621"/>
      <c r="C153" s="734"/>
      <c r="D153" s="734"/>
      <c r="E153" s="734"/>
      <c r="F153" s="734"/>
      <c r="G153" s="734"/>
      <c r="H153" s="734"/>
      <c r="I153" s="408">
        <f t="shared" si="35"/>
        <v>0</v>
      </c>
      <c r="J153" s="408" t="str">
        <f t="shared" si="36"/>
        <v/>
      </c>
      <c r="K153" s="736"/>
      <c r="L153" s="100"/>
    </row>
    <row r="154" spans="1:12" x14ac:dyDescent="0.25">
      <c r="A154" s="696" t="str">
        <f t="shared" si="33"/>
        <v>Child Care Facilities</v>
      </c>
      <c r="B154" s="621"/>
      <c r="C154" s="734"/>
      <c r="D154" s="734"/>
      <c r="E154" s="734"/>
      <c r="F154" s="734"/>
      <c r="G154" s="734"/>
      <c r="H154" s="734"/>
      <c r="I154" s="408">
        <f t="shared" si="35"/>
        <v>0</v>
      </c>
      <c r="J154" s="408" t="str">
        <f t="shared" si="36"/>
        <v/>
      </c>
      <c r="K154" s="736"/>
      <c r="L154" s="100"/>
    </row>
    <row r="155" spans="1:12" x14ac:dyDescent="0.25">
      <c r="A155" s="696" t="str">
        <f t="shared" si="33"/>
        <v>Community Halls and Facilities</v>
      </c>
      <c r="B155" s="621"/>
      <c r="C155" s="734"/>
      <c r="D155" s="734"/>
      <c r="E155" s="734"/>
      <c r="F155" s="734"/>
      <c r="G155" s="734"/>
      <c r="H155" s="734"/>
      <c r="I155" s="408">
        <f t="shared" si="35"/>
        <v>0</v>
      </c>
      <c r="J155" s="408" t="str">
        <f t="shared" si="36"/>
        <v/>
      </c>
      <c r="K155" s="736"/>
      <c r="L155" s="100"/>
    </row>
    <row r="156" spans="1:12" x14ac:dyDescent="0.25">
      <c r="A156" s="696" t="str">
        <f t="shared" si="33"/>
        <v>Consumer Protection</v>
      </c>
      <c r="B156" s="621"/>
      <c r="C156" s="734"/>
      <c r="D156" s="734"/>
      <c r="E156" s="734"/>
      <c r="F156" s="734"/>
      <c r="G156" s="734"/>
      <c r="H156" s="734"/>
      <c r="I156" s="408">
        <f t="shared" si="35"/>
        <v>0</v>
      </c>
      <c r="J156" s="408" t="str">
        <f t="shared" si="36"/>
        <v/>
      </c>
      <c r="K156" s="736"/>
      <c r="L156" s="100"/>
    </row>
    <row r="157" spans="1:12" x14ac:dyDescent="0.25">
      <c r="A157" s="696" t="str">
        <f t="shared" si="33"/>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3"/>
        <v>Disaster Management</v>
      </c>
      <c r="B158" s="621"/>
      <c r="C158" s="734">
        <v>2086387.5499999998</v>
      </c>
      <c r="D158" s="734">
        <v>2562316</v>
      </c>
      <c r="E158" s="734">
        <v>2542491</v>
      </c>
      <c r="F158" s="734">
        <v>181186.76</v>
      </c>
      <c r="G158" s="734">
        <v>1288076.2000000002</v>
      </c>
      <c r="H158" s="734">
        <v>1395429.06</v>
      </c>
      <c r="I158" s="408">
        <f>G158-H158</f>
        <v>-107352.85999999987</v>
      </c>
      <c r="J158" s="408">
        <f>IF(I158=0,"",I158/H158)</f>
        <v>-7.6931793293741405E-2</v>
      </c>
      <c r="K158" s="736">
        <v>2562316</v>
      </c>
      <c r="L158" s="100"/>
    </row>
    <row r="159" spans="1:12" x14ac:dyDescent="0.25">
      <c r="A159" s="696" t="str">
        <f t="shared" si="33"/>
        <v>Education</v>
      </c>
      <c r="B159" s="621"/>
      <c r="C159" s="734"/>
      <c r="D159" s="734"/>
      <c r="E159" s="734"/>
      <c r="F159" s="734"/>
      <c r="G159" s="734"/>
      <c r="H159" s="734"/>
      <c r="I159" s="408">
        <f t="shared" ref="I159:I164" si="42">G159-H159</f>
        <v>0</v>
      </c>
      <c r="J159" s="408" t="str">
        <f t="shared" ref="J159:J164" si="43">IF(I159=0,"",I159/H159)</f>
        <v/>
      </c>
      <c r="K159" s="736"/>
      <c r="L159" s="100"/>
    </row>
    <row r="160" spans="1:12" x14ac:dyDescent="0.25">
      <c r="A160" s="696" t="str">
        <f t="shared" ref="A160:A191" si="44">A38</f>
        <v>Indigenous and Customary Law</v>
      </c>
      <c r="B160" s="621"/>
      <c r="C160" s="734"/>
      <c r="D160" s="734"/>
      <c r="E160" s="734"/>
      <c r="F160" s="734"/>
      <c r="G160" s="734"/>
      <c r="H160" s="734"/>
      <c r="I160" s="408">
        <f t="shared" si="42"/>
        <v>0</v>
      </c>
      <c r="J160" s="408" t="str">
        <f t="shared" si="43"/>
        <v/>
      </c>
      <c r="K160" s="736"/>
      <c r="L160" s="100"/>
    </row>
    <row r="161" spans="1:12" x14ac:dyDescent="0.25">
      <c r="A161" s="696" t="str">
        <f t="shared" si="44"/>
        <v>Industrial Promotion</v>
      </c>
      <c r="B161" s="621"/>
      <c r="C161" s="734"/>
      <c r="D161" s="734"/>
      <c r="E161" s="734"/>
      <c r="F161" s="734"/>
      <c r="G161" s="734"/>
      <c r="H161" s="734"/>
      <c r="I161" s="408">
        <f t="shared" si="42"/>
        <v>0</v>
      </c>
      <c r="J161" s="408" t="str">
        <f t="shared" si="43"/>
        <v/>
      </c>
      <c r="K161" s="736"/>
      <c r="L161" s="100"/>
    </row>
    <row r="162" spans="1:12" x14ac:dyDescent="0.25">
      <c r="A162" s="696" t="str">
        <f t="shared" si="44"/>
        <v>Language Policy</v>
      </c>
      <c r="B162" s="621"/>
      <c r="C162" s="734"/>
      <c r="D162" s="734"/>
      <c r="E162" s="734"/>
      <c r="F162" s="734"/>
      <c r="G162" s="734"/>
      <c r="H162" s="734"/>
      <c r="I162" s="408">
        <f t="shared" si="42"/>
        <v>0</v>
      </c>
      <c r="J162" s="408" t="str">
        <f t="shared" si="43"/>
        <v/>
      </c>
      <c r="K162" s="736"/>
      <c r="L162" s="100"/>
    </row>
    <row r="163" spans="1:12" x14ac:dyDescent="0.25">
      <c r="A163" s="696" t="str">
        <f t="shared" si="44"/>
        <v>Libraries and Archives</v>
      </c>
      <c r="B163" s="621"/>
      <c r="C163" s="734">
        <v>8981276.3300000001</v>
      </c>
      <c r="D163" s="734">
        <v>10052528</v>
      </c>
      <c r="E163" s="734">
        <v>9776214.5</v>
      </c>
      <c r="F163" s="734">
        <v>800941.48000000021</v>
      </c>
      <c r="G163" s="734">
        <v>4822807.9700000016</v>
      </c>
      <c r="H163" s="734">
        <v>4750803.38</v>
      </c>
      <c r="I163" s="408">
        <f t="shared" si="42"/>
        <v>72004.590000001714</v>
      </c>
      <c r="J163" s="408">
        <f t="shared" si="43"/>
        <v>1.5156297628129102E-2</v>
      </c>
      <c r="K163" s="736">
        <v>10052528</v>
      </c>
      <c r="L163" s="100"/>
    </row>
    <row r="164" spans="1:12" x14ac:dyDescent="0.25">
      <c r="A164" s="696" t="str">
        <f t="shared" si="44"/>
        <v>Literacy Programmes</v>
      </c>
      <c r="B164" s="621"/>
      <c r="C164" s="734"/>
      <c r="D164" s="734"/>
      <c r="E164" s="734"/>
      <c r="F164" s="734"/>
      <c r="G164" s="734"/>
      <c r="H164" s="734"/>
      <c r="I164" s="408">
        <f t="shared" si="42"/>
        <v>0</v>
      </c>
      <c r="J164" s="408" t="str">
        <f t="shared" si="43"/>
        <v/>
      </c>
      <c r="K164" s="736"/>
      <c r="L164" s="100"/>
    </row>
    <row r="165" spans="1:12" x14ac:dyDescent="0.25">
      <c r="A165" s="696" t="str">
        <f t="shared" si="44"/>
        <v>Media Services</v>
      </c>
      <c r="B165" s="621"/>
      <c r="C165" s="734"/>
      <c r="D165" s="734"/>
      <c r="E165" s="734"/>
      <c r="F165" s="734"/>
      <c r="G165" s="734"/>
      <c r="H165" s="734"/>
      <c r="I165" s="408">
        <f t="shared" si="35"/>
        <v>0</v>
      </c>
      <c r="J165" s="408" t="str">
        <f t="shared" si="36"/>
        <v/>
      </c>
      <c r="K165" s="736"/>
      <c r="L165" s="100"/>
    </row>
    <row r="166" spans="1:12" x14ac:dyDescent="0.25">
      <c r="A166" s="696" t="str">
        <f t="shared" si="44"/>
        <v>Museums and Art Galleries</v>
      </c>
      <c r="B166" s="621"/>
      <c r="C166" s="734"/>
      <c r="D166" s="734"/>
      <c r="E166" s="734"/>
      <c r="F166" s="734"/>
      <c r="G166" s="734"/>
      <c r="H166" s="734"/>
      <c r="I166" s="408">
        <f t="shared" si="35"/>
        <v>0</v>
      </c>
      <c r="J166" s="408" t="str">
        <f t="shared" si="36"/>
        <v/>
      </c>
      <c r="K166" s="736"/>
      <c r="L166" s="100"/>
    </row>
    <row r="167" spans="1:12" x14ac:dyDescent="0.25">
      <c r="A167" s="696" t="str">
        <f t="shared" si="44"/>
        <v>Population Development</v>
      </c>
      <c r="B167" s="621"/>
      <c r="C167" s="734"/>
      <c r="D167" s="734"/>
      <c r="E167" s="734"/>
      <c r="F167" s="734"/>
      <c r="G167" s="734"/>
      <c r="H167" s="734"/>
      <c r="I167" s="408">
        <f t="shared" si="35"/>
        <v>0</v>
      </c>
      <c r="J167" s="408" t="str">
        <f t="shared" si="36"/>
        <v/>
      </c>
      <c r="K167" s="736"/>
      <c r="L167" s="100"/>
    </row>
    <row r="168" spans="1:12" x14ac:dyDescent="0.25">
      <c r="A168" s="696" t="str">
        <f t="shared" si="44"/>
        <v>Provincial Cultural Matters</v>
      </c>
      <c r="B168" s="621"/>
      <c r="C168" s="734"/>
      <c r="D168" s="734"/>
      <c r="E168" s="734"/>
      <c r="F168" s="734"/>
      <c r="G168" s="734"/>
      <c r="H168" s="734"/>
      <c r="I168" s="408">
        <f t="shared" si="35"/>
        <v>0</v>
      </c>
      <c r="J168" s="408" t="str">
        <f t="shared" si="36"/>
        <v/>
      </c>
      <c r="K168" s="736"/>
      <c r="L168" s="100"/>
    </row>
    <row r="169" spans="1:12" x14ac:dyDescent="0.25">
      <c r="A169" s="696" t="str">
        <f t="shared" si="44"/>
        <v>Theatres</v>
      </c>
      <c r="B169" s="621"/>
      <c r="C169" s="734"/>
      <c r="D169" s="734"/>
      <c r="E169" s="734"/>
      <c r="F169" s="734"/>
      <c r="G169" s="734"/>
      <c r="H169" s="734"/>
      <c r="I169" s="408">
        <f t="shared" si="35"/>
        <v>0</v>
      </c>
      <c r="J169" s="408" t="str">
        <f t="shared" si="36"/>
        <v/>
      </c>
      <c r="K169" s="736"/>
      <c r="L169" s="100"/>
    </row>
    <row r="170" spans="1:12" x14ac:dyDescent="0.25">
      <c r="A170" s="696" t="str">
        <f t="shared" si="44"/>
        <v>Zoo's</v>
      </c>
      <c r="B170" s="621"/>
      <c r="C170" s="734"/>
      <c r="D170" s="734"/>
      <c r="E170" s="734"/>
      <c r="F170" s="734"/>
      <c r="G170" s="734"/>
      <c r="H170" s="734"/>
      <c r="I170" s="408">
        <f t="shared" si="35"/>
        <v>0</v>
      </c>
      <c r="J170" s="408" t="str">
        <f t="shared" si="36"/>
        <v/>
      </c>
      <c r="K170" s="736"/>
      <c r="L170" s="100"/>
    </row>
    <row r="171" spans="1:12" x14ac:dyDescent="0.25">
      <c r="A171" s="608" t="str">
        <f t="shared" si="44"/>
        <v>Sport and recreation</v>
      </c>
      <c r="B171" s="621"/>
      <c r="C171" s="612">
        <f t="shared" ref="C171:K171" si="45">SUM(C172:C176)</f>
        <v>23016098.579999998</v>
      </c>
      <c r="D171" s="612">
        <f t="shared" si="45"/>
        <v>27120105</v>
      </c>
      <c r="E171" s="612">
        <f t="shared" si="45"/>
        <v>25317366</v>
      </c>
      <c r="F171" s="612">
        <f t="shared" si="45"/>
        <v>1686660.9300000002</v>
      </c>
      <c r="G171" s="612">
        <f t="shared" si="45"/>
        <v>11631654.900000002</v>
      </c>
      <c r="H171" s="612">
        <f t="shared" si="45"/>
        <v>10978072.350000001</v>
      </c>
      <c r="I171" s="612">
        <f t="shared" ref="I171:I176" si="46">G171-H171</f>
        <v>653582.55000000075</v>
      </c>
      <c r="J171" s="612">
        <f t="shared" ref="J171:J176" si="47">IF(I171=0,"",I171/H171)</f>
        <v>5.9535274423656047E-2</v>
      </c>
      <c r="K171" s="615">
        <f t="shared" si="45"/>
        <v>27120105</v>
      </c>
      <c r="L171" s="100"/>
    </row>
    <row r="172" spans="1:12" x14ac:dyDescent="0.25">
      <c r="A172" s="696" t="str">
        <f t="shared" si="44"/>
        <v xml:space="preserve">Beaches and Jetties </v>
      </c>
      <c r="B172" s="621"/>
      <c r="C172" s="734"/>
      <c r="D172" s="734"/>
      <c r="E172" s="734"/>
      <c r="F172" s="734"/>
      <c r="G172" s="734"/>
      <c r="H172" s="734"/>
      <c r="I172" s="408">
        <f t="shared" si="46"/>
        <v>0</v>
      </c>
      <c r="J172" s="408" t="str">
        <f t="shared" si="47"/>
        <v/>
      </c>
      <c r="K172" s="736"/>
      <c r="L172" s="100"/>
    </row>
    <row r="173" spans="1:12" x14ac:dyDescent="0.25">
      <c r="A173" s="696" t="str">
        <f t="shared" si="44"/>
        <v>Casinos, Racing, Gambling, Wagering</v>
      </c>
      <c r="B173" s="621"/>
      <c r="C173" s="734"/>
      <c r="D173" s="734"/>
      <c r="E173" s="734"/>
      <c r="F173" s="734"/>
      <c r="G173" s="734"/>
      <c r="H173" s="734"/>
      <c r="I173" s="408">
        <f t="shared" si="46"/>
        <v>0</v>
      </c>
      <c r="J173" s="408" t="str">
        <f t="shared" si="47"/>
        <v/>
      </c>
      <c r="K173" s="736"/>
      <c r="L173" s="100"/>
    </row>
    <row r="174" spans="1:12" x14ac:dyDescent="0.25">
      <c r="A174" s="696" t="str">
        <f t="shared" si="44"/>
        <v>Community Parks (including Nurseries)</v>
      </c>
      <c r="B174" s="621"/>
      <c r="C174" s="734"/>
      <c r="D174" s="734"/>
      <c r="E174" s="734"/>
      <c r="F174" s="734"/>
      <c r="G174" s="734"/>
      <c r="H174" s="734"/>
      <c r="I174" s="408">
        <f t="shared" si="46"/>
        <v>0</v>
      </c>
      <c r="J174" s="408" t="str">
        <f t="shared" si="47"/>
        <v/>
      </c>
      <c r="K174" s="736"/>
      <c r="L174" s="100"/>
    </row>
    <row r="175" spans="1:12" x14ac:dyDescent="0.25">
      <c r="A175" s="696" t="str">
        <f t="shared" si="44"/>
        <v>Recreational Facilities</v>
      </c>
      <c r="B175" s="621"/>
      <c r="C175" s="734">
        <v>23016098.579999998</v>
      </c>
      <c r="D175" s="734">
        <v>27120105</v>
      </c>
      <c r="E175" s="734">
        <v>25317366</v>
      </c>
      <c r="F175" s="734">
        <v>1686660.9300000002</v>
      </c>
      <c r="G175" s="734">
        <v>11631654.900000002</v>
      </c>
      <c r="H175" s="734">
        <v>10978072.350000001</v>
      </c>
      <c r="I175" s="408">
        <f t="shared" si="46"/>
        <v>653582.55000000075</v>
      </c>
      <c r="J175" s="408">
        <f t="shared" si="47"/>
        <v>5.9535274423656047E-2</v>
      </c>
      <c r="K175" s="736">
        <v>27120105</v>
      </c>
      <c r="L175" s="100"/>
    </row>
    <row r="176" spans="1:12" x14ac:dyDescent="0.25">
      <c r="A176" s="696" t="str">
        <f t="shared" si="44"/>
        <v>Sports Grounds and Stadiums</v>
      </c>
      <c r="B176" s="621"/>
      <c r="C176" s="734"/>
      <c r="D176" s="734"/>
      <c r="E176" s="734"/>
      <c r="F176" s="734"/>
      <c r="G176" s="734"/>
      <c r="H176" s="734"/>
      <c r="I176" s="408">
        <f t="shared" si="46"/>
        <v>0</v>
      </c>
      <c r="J176" s="408" t="str">
        <f t="shared" si="47"/>
        <v/>
      </c>
      <c r="K176" s="736"/>
      <c r="L176" s="100"/>
    </row>
    <row r="177" spans="1:12" x14ac:dyDescent="0.25">
      <c r="A177" s="608" t="str">
        <f t="shared" si="44"/>
        <v>Public safety</v>
      </c>
      <c r="B177" s="621"/>
      <c r="C177" s="612">
        <f t="shared" ref="C177:K177" si="48">SUM(C178:C185)</f>
        <v>53110645</v>
      </c>
      <c r="D177" s="612">
        <f t="shared" si="48"/>
        <v>56026008</v>
      </c>
      <c r="E177" s="612">
        <f t="shared" si="48"/>
        <v>47159665</v>
      </c>
      <c r="F177" s="612">
        <f t="shared" si="48"/>
        <v>1481075.1400000001</v>
      </c>
      <c r="G177" s="612">
        <f t="shared" si="48"/>
        <v>9079263.8800000008</v>
      </c>
      <c r="H177" s="612">
        <f t="shared" si="48"/>
        <v>8023270.6900000004</v>
      </c>
      <c r="I177" s="612">
        <f t="shared" si="35"/>
        <v>1055993.1900000004</v>
      </c>
      <c r="J177" s="612">
        <f t="shared" si="36"/>
        <v>0.13161629848986192</v>
      </c>
      <c r="K177" s="615">
        <f t="shared" si="48"/>
        <v>56026008</v>
      </c>
      <c r="L177" s="100"/>
    </row>
    <row r="178" spans="1:12" x14ac:dyDescent="0.25">
      <c r="A178" s="696" t="str">
        <f t="shared" si="44"/>
        <v>Civil Defence</v>
      </c>
      <c r="B178" s="621"/>
      <c r="C178" s="734">
        <f>16183047+36927598</f>
        <v>53110645</v>
      </c>
      <c r="D178" s="734">
        <v>56026008</v>
      </c>
      <c r="E178" s="734">
        <v>47159665</v>
      </c>
      <c r="F178" s="734">
        <v>1481075.1400000001</v>
      </c>
      <c r="G178" s="734">
        <v>9079263.8800000008</v>
      </c>
      <c r="H178" s="734">
        <v>8023270.6900000004</v>
      </c>
      <c r="I178" s="408">
        <f t="shared" si="35"/>
        <v>1055993.1900000004</v>
      </c>
      <c r="J178" s="408">
        <f t="shared" si="36"/>
        <v>0.13161629848986192</v>
      </c>
      <c r="K178" s="736">
        <v>56026008</v>
      </c>
      <c r="L178" s="100"/>
    </row>
    <row r="179" spans="1:12" x14ac:dyDescent="0.25">
      <c r="A179" s="696" t="str">
        <f t="shared" si="44"/>
        <v>Cleansing</v>
      </c>
      <c r="B179" s="621"/>
      <c r="C179" s="734"/>
      <c r="D179" s="734"/>
      <c r="E179" s="734"/>
      <c r="F179" s="734"/>
      <c r="G179" s="734"/>
      <c r="H179" s="734"/>
      <c r="I179" s="408">
        <f t="shared" si="35"/>
        <v>0</v>
      </c>
      <c r="J179" s="408" t="str">
        <f t="shared" si="36"/>
        <v/>
      </c>
      <c r="K179" s="736"/>
      <c r="L179" s="100"/>
    </row>
    <row r="180" spans="1:12" x14ac:dyDescent="0.25">
      <c r="A180" s="696" t="str">
        <f t="shared" si="44"/>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44"/>
        <v xml:space="preserve">Fencing and Fences </v>
      </c>
      <c r="B181" s="621"/>
      <c r="C181" s="734"/>
      <c r="D181" s="734"/>
      <c r="E181" s="734"/>
      <c r="F181" s="734"/>
      <c r="G181" s="734"/>
      <c r="H181" s="734"/>
      <c r="I181" s="408">
        <f t="shared" si="35"/>
        <v>0</v>
      </c>
      <c r="J181" s="408" t="str">
        <f t="shared" si="36"/>
        <v/>
      </c>
      <c r="K181" s="736"/>
      <c r="L181" s="100"/>
    </row>
    <row r="182" spans="1:12" x14ac:dyDescent="0.25">
      <c r="A182" s="696" t="str">
        <f t="shared" si="44"/>
        <v>Fire Fighting and Protection</v>
      </c>
      <c r="B182" s="621"/>
      <c r="C182" s="734"/>
      <c r="D182" s="734"/>
      <c r="E182" s="734"/>
      <c r="F182" s="734"/>
      <c r="G182" s="734"/>
      <c r="H182" s="734"/>
      <c r="I182" s="408">
        <f t="shared" si="35"/>
        <v>0</v>
      </c>
      <c r="J182" s="408" t="str">
        <f t="shared" si="36"/>
        <v/>
      </c>
      <c r="K182" s="736"/>
      <c r="L182" s="100"/>
    </row>
    <row r="183" spans="1:12" x14ac:dyDescent="0.25">
      <c r="A183" s="696" t="str">
        <f t="shared" si="44"/>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44"/>
        <v>Police Forces, Traffic and Street Parking Control</v>
      </c>
      <c r="B184" s="621"/>
      <c r="C184" s="734"/>
      <c r="D184" s="734"/>
      <c r="E184" s="734"/>
      <c r="F184" s="734"/>
      <c r="G184" s="734"/>
      <c r="H184" s="734"/>
      <c r="I184" s="408">
        <f>G184-H184</f>
        <v>0</v>
      </c>
      <c r="J184" s="408" t="str">
        <f>IF(I184=0,"",I184/H184)</f>
        <v/>
      </c>
      <c r="K184" s="736"/>
      <c r="L184" s="100"/>
    </row>
    <row r="185" spans="1:12" x14ac:dyDescent="0.25">
      <c r="A185" s="696" t="str">
        <f t="shared" si="44"/>
        <v>Pounds</v>
      </c>
      <c r="B185" s="621"/>
      <c r="C185" s="734"/>
      <c r="D185" s="734"/>
      <c r="E185" s="734"/>
      <c r="F185" s="734"/>
      <c r="G185" s="734"/>
      <c r="H185" s="734"/>
      <c r="I185" s="408">
        <f t="shared" si="35"/>
        <v>0</v>
      </c>
      <c r="J185" s="408" t="str">
        <f t="shared" si="36"/>
        <v/>
      </c>
      <c r="K185" s="736"/>
      <c r="L185" s="100"/>
    </row>
    <row r="186" spans="1:12" x14ac:dyDescent="0.25">
      <c r="A186" s="608" t="str">
        <f t="shared" si="44"/>
        <v>Housing</v>
      </c>
      <c r="B186" s="621"/>
      <c r="C186" s="612">
        <f t="shared" ref="C186:H186" si="49">SUM(C187:C188)</f>
        <v>13788554.93</v>
      </c>
      <c r="D186" s="612">
        <f t="shared" si="49"/>
        <v>18041702</v>
      </c>
      <c r="E186" s="612">
        <f t="shared" si="49"/>
        <v>16939922.719999999</v>
      </c>
      <c r="F186" s="612">
        <f t="shared" si="49"/>
        <v>1098272.8600000001</v>
      </c>
      <c r="G186" s="612">
        <f t="shared" si="49"/>
        <v>7390066.8700000001</v>
      </c>
      <c r="H186" s="612">
        <f t="shared" si="49"/>
        <v>6962401.9200000009</v>
      </c>
      <c r="I186" s="612">
        <f>G186-H186</f>
        <v>427664.94999999925</v>
      </c>
      <c r="J186" s="612">
        <f>IF(I186=0,"",I186/H186)</f>
        <v>6.1424915555578725E-2</v>
      </c>
      <c r="K186" s="612">
        <f>SUM(K187:K188)</f>
        <v>18041702</v>
      </c>
      <c r="L186" s="100"/>
    </row>
    <row r="187" spans="1:12" x14ac:dyDescent="0.25">
      <c r="A187" s="696" t="str">
        <f t="shared" si="44"/>
        <v>Housing</v>
      </c>
      <c r="B187" s="621"/>
      <c r="C187" s="734">
        <v>13788554.93</v>
      </c>
      <c r="D187" s="734">
        <v>18041702</v>
      </c>
      <c r="E187" s="734">
        <v>16939922.719999999</v>
      </c>
      <c r="F187" s="734">
        <v>1098272.8600000001</v>
      </c>
      <c r="G187" s="734">
        <v>7390066.8700000001</v>
      </c>
      <c r="H187" s="734">
        <v>6962401.9200000009</v>
      </c>
      <c r="I187" s="408">
        <f>G187-H187</f>
        <v>427664.94999999925</v>
      </c>
      <c r="J187" s="408">
        <f>IF(I187=0,"",I187/H187)</f>
        <v>6.1424915555578725E-2</v>
      </c>
      <c r="K187" s="736">
        <v>18041702</v>
      </c>
      <c r="L187" s="100"/>
    </row>
    <row r="188" spans="1:12" x14ac:dyDescent="0.25">
      <c r="A188" s="696" t="str">
        <f t="shared" si="44"/>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44"/>
        <v>Health</v>
      </c>
      <c r="B189" s="621"/>
      <c r="C189" s="612">
        <f t="shared" ref="C189:K189" si="50">SUM(C190:C196)</f>
        <v>9103661.2599999998</v>
      </c>
      <c r="D189" s="612">
        <f t="shared" si="50"/>
        <v>10544945</v>
      </c>
      <c r="E189" s="612">
        <f t="shared" si="50"/>
        <v>10170592.5</v>
      </c>
      <c r="F189" s="612">
        <f t="shared" si="50"/>
        <v>780873.75000000012</v>
      </c>
      <c r="G189" s="612">
        <f t="shared" si="50"/>
        <v>5191726.74</v>
      </c>
      <c r="H189" s="612">
        <f t="shared" si="50"/>
        <v>4536293.2300000004</v>
      </c>
      <c r="I189" s="612">
        <f t="shared" si="35"/>
        <v>655433.50999999978</v>
      </c>
      <c r="J189" s="612">
        <f t="shared" si="36"/>
        <v>0.14448658337723899</v>
      </c>
      <c r="K189" s="615">
        <f t="shared" si="50"/>
        <v>10544945</v>
      </c>
      <c r="L189" s="100"/>
    </row>
    <row r="190" spans="1:12" x14ac:dyDescent="0.25">
      <c r="A190" s="696" t="str">
        <f t="shared" si="44"/>
        <v>Ambulance</v>
      </c>
      <c r="B190" s="621"/>
      <c r="C190" s="734"/>
      <c r="D190" s="734"/>
      <c r="E190" s="734"/>
      <c r="F190" s="734"/>
      <c r="G190" s="734"/>
      <c r="H190" s="734"/>
      <c r="I190" s="408">
        <f t="shared" si="35"/>
        <v>0</v>
      </c>
      <c r="J190" s="408" t="str">
        <f t="shared" si="36"/>
        <v/>
      </c>
      <c r="K190" s="736"/>
      <c r="L190" s="100"/>
    </row>
    <row r="191" spans="1:12" x14ac:dyDescent="0.25">
      <c r="A191" s="696" t="str">
        <f t="shared" si="44"/>
        <v>Health Services</v>
      </c>
      <c r="B191" s="621"/>
      <c r="C191" s="734">
        <v>9103661.2599999998</v>
      </c>
      <c r="D191" s="734">
        <v>10544945</v>
      </c>
      <c r="E191" s="734">
        <v>10170592.5</v>
      </c>
      <c r="F191" s="734">
        <v>780873.75000000012</v>
      </c>
      <c r="G191" s="734">
        <v>5191726.74</v>
      </c>
      <c r="H191" s="734">
        <v>4536293.2300000004</v>
      </c>
      <c r="I191" s="408">
        <f t="shared" si="35"/>
        <v>655433.50999999978</v>
      </c>
      <c r="J191" s="408">
        <f t="shared" si="36"/>
        <v>0.14448658337723899</v>
      </c>
      <c r="K191" s="736">
        <v>10544945</v>
      </c>
      <c r="L191" s="100"/>
    </row>
    <row r="192" spans="1:12" x14ac:dyDescent="0.25">
      <c r="A192" s="696" t="str">
        <f t="shared" ref="A192:A223" si="51">A70</f>
        <v>Laboratory Services</v>
      </c>
      <c r="B192" s="621"/>
      <c r="C192" s="734"/>
      <c r="D192" s="734"/>
      <c r="E192" s="734"/>
      <c r="F192" s="734"/>
      <c r="G192" s="734"/>
      <c r="H192" s="734"/>
      <c r="I192" s="408">
        <f t="shared" si="35"/>
        <v>0</v>
      </c>
      <c r="J192" s="408" t="str">
        <f t="shared" si="36"/>
        <v/>
      </c>
      <c r="K192" s="736"/>
      <c r="L192" s="100"/>
    </row>
    <row r="193" spans="1:12" x14ac:dyDescent="0.25">
      <c r="A193" s="696" t="str">
        <f t="shared" si="5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5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51"/>
        <v>Vector Control</v>
      </c>
      <c r="B195" s="621"/>
      <c r="C195" s="734"/>
      <c r="D195" s="734"/>
      <c r="E195" s="734"/>
      <c r="F195" s="734"/>
      <c r="G195" s="734"/>
      <c r="H195" s="734"/>
      <c r="I195" s="408">
        <f t="shared" si="35"/>
        <v>0</v>
      </c>
      <c r="J195" s="408" t="str">
        <f t="shared" si="36"/>
        <v/>
      </c>
      <c r="K195" s="736"/>
      <c r="L195" s="100"/>
    </row>
    <row r="196" spans="1:12" x14ac:dyDescent="0.25">
      <c r="A196" s="696" t="str">
        <f t="shared" si="51"/>
        <v>Chemical Safety</v>
      </c>
      <c r="B196" s="621"/>
      <c r="C196" s="734"/>
      <c r="D196" s="734"/>
      <c r="E196" s="734"/>
      <c r="F196" s="734"/>
      <c r="G196" s="734"/>
      <c r="H196" s="734"/>
      <c r="I196" s="408">
        <f t="shared" si="35"/>
        <v>0</v>
      </c>
      <c r="J196" s="408" t="str">
        <f t="shared" si="36"/>
        <v/>
      </c>
      <c r="K196" s="736"/>
      <c r="L196" s="100"/>
    </row>
    <row r="197" spans="1:12" x14ac:dyDescent="0.25">
      <c r="A197" s="414" t="str">
        <f t="shared" si="51"/>
        <v>Economic and environmental services</v>
      </c>
      <c r="B197" s="621"/>
      <c r="C197" s="606">
        <f t="shared" ref="C197:H197" si="52">C198+C209+C214</f>
        <v>177698906.73999998</v>
      </c>
      <c r="D197" s="606">
        <f t="shared" si="52"/>
        <v>218271530</v>
      </c>
      <c r="E197" s="606">
        <f t="shared" si="52"/>
        <v>201708339.57999998</v>
      </c>
      <c r="F197" s="606">
        <f t="shared" si="52"/>
        <v>14202555.389999999</v>
      </c>
      <c r="G197" s="606">
        <f t="shared" si="52"/>
        <v>80044033.189999998</v>
      </c>
      <c r="H197" s="606">
        <f t="shared" si="52"/>
        <v>72019440.989999995</v>
      </c>
      <c r="I197" s="606">
        <f t="shared" si="35"/>
        <v>8024592.200000003</v>
      </c>
      <c r="J197" s="606">
        <f t="shared" si="36"/>
        <v>0.11142258381475398</v>
      </c>
      <c r="K197" s="607">
        <f>K198+K209+K214</f>
        <v>218271530</v>
      </c>
      <c r="L197" s="100"/>
    </row>
    <row r="198" spans="1:12" x14ac:dyDescent="0.25">
      <c r="A198" s="608" t="str">
        <f t="shared" si="51"/>
        <v>Planning and development</v>
      </c>
      <c r="B198" s="621"/>
      <c r="C198" s="612">
        <f t="shared" ref="C198:K198" si="53">SUM(C199:C208)</f>
        <v>23180906.649999999</v>
      </c>
      <c r="D198" s="612">
        <f t="shared" si="53"/>
        <v>28129324</v>
      </c>
      <c r="E198" s="612">
        <f t="shared" si="53"/>
        <v>25937659</v>
      </c>
      <c r="F198" s="612">
        <f t="shared" si="53"/>
        <v>2730427.41</v>
      </c>
      <c r="G198" s="612">
        <f t="shared" si="53"/>
        <v>13808135.690000001</v>
      </c>
      <c r="H198" s="612">
        <f t="shared" si="53"/>
        <v>12690800.359999999</v>
      </c>
      <c r="I198" s="612">
        <f t="shared" si="35"/>
        <v>1117335.3300000019</v>
      </c>
      <c r="J198" s="612">
        <f t="shared" si="36"/>
        <v>8.8042936481903811E-2</v>
      </c>
      <c r="K198" s="615">
        <f t="shared" si="53"/>
        <v>28129324</v>
      </c>
      <c r="L198" s="100"/>
    </row>
    <row r="199" spans="1:12" x14ac:dyDescent="0.25">
      <c r="A199" s="696" t="str">
        <f t="shared" si="51"/>
        <v>Billboards</v>
      </c>
      <c r="B199" s="621"/>
      <c r="C199" s="734"/>
      <c r="D199" s="734"/>
      <c r="E199" s="734"/>
      <c r="F199" s="734"/>
      <c r="G199" s="734"/>
      <c r="H199" s="734"/>
      <c r="I199" s="408">
        <f t="shared" si="35"/>
        <v>0</v>
      </c>
      <c r="J199" s="408" t="str">
        <f t="shared" si="36"/>
        <v/>
      </c>
      <c r="K199" s="736"/>
      <c r="L199" s="100"/>
    </row>
    <row r="200" spans="1:12" ht="22.5" x14ac:dyDescent="0.25">
      <c r="A200" s="696" t="str">
        <f t="shared" si="51"/>
        <v>Corporate Wide Strategic Planning (IDPs, LEDs)</v>
      </c>
      <c r="B200" s="621"/>
      <c r="C200" s="734">
        <v>3318642.7700000005</v>
      </c>
      <c r="D200" s="734">
        <v>3995551</v>
      </c>
      <c r="E200" s="734">
        <v>3810353</v>
      </c>
      <c r="F200" s="734">
        <v>486954.02000000008</v>
      </c>
      <c r="G200" s="734">
        <v>2131484.1700000004</v>
      </c>
      <c r="H200" s="734">
        <v>1763980.82</v>
      </c>
      <c r="I200" s="408">
        <f t="shared" si="35"/>
        <v>367503.35000000033</v>
      </c>
      <c r="J200" s="408">
        <f t="shared" si="36"/>
        <v>0.20833749768322329</v>
      </c>
      <c r="K200" s="736">
        <v>3995551</v>
      </c>
      <c r="L200" s="100"/>
    </row>
    <row r="201" spans="1:12" x14ac:dyDescent="0.25">
      <c r="A201" s="696" t="str">
        <f t="shared" si="51"/>
        <v>Central City Improvement District</v>
      </c>
      <c r="B201" s="621"/>
      <c r="C201" s="734"/>
      <c r="D201" s="734"/>
      <c r="E201" s="734"/>
      <c r="F201" s="734"/>
      <c r="G201" s="734"/>
      <c r="H201" s="734"/>
      <c r="I201" s="408">
        <f t="shared" si="35"/>
        <v>0</v>
      </c>
      <c r="J201" s="408" t="str">
        <f t="shared" si="36"/>
        <v/>
      </c>
      <c r="K201" s="736"/>
      <c r="L201" s="100"/>
    </row>
    <row r="202" spans="1:12" x14ac:dyDescent="0.25">
      <c r="A202" s="696" t="str">
        <f t="shared" si="5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51"/>
        <v>Economic Development/Planning</v>
      </c>
      <c r="B203" s="621"/>
      <c r="C203" s="734">
        <v>14837245.699999999</v>
      </c>
      <c r="D203" s="734">
        <v>17145651</v>
      </c>
      <c r="E203" s="734">
        <v>15743083.5</v>
      </c>
      <c r="F203" s="734">
        <v>1699041.18</v>
      </c>
      <c r="G203" s="734">
        <v>8999557.0900000017</v>
      </c>
      <c r="H203" s="734">
        <v>8257458.5799999991</v>
      </c>
      <c r="I203" s="408">
        <f>G203-H203</f>
        <v>742098.51000000257</v>
      </c>
      <c r="J203" s="408">
        <f>IF(I203=0,"",I203/H203)</f>
        <v>8.9870085669869954E-2</v>
      </c>
      <c r="K203" s="736">
        <v>17145651</v>
      </c>
      <c r="L203" s="100"/>
    </row>
    <row r="204" spans="1:12" x14ac:dyDescent="0.25">
      <c r="A204" s="696" t="str">
        <f t="shared" si="51"/>
        <v>Regional Planning and Development</v>
      </c>
      <c r="B204" s="621"/>
      <c r="C204" s="734">
        <v>5025018.18</v>
      </c>
      <c r="D204" s="734">
        <v>6988122</v>
      </c>
      <c r="E204" s="734">
        <v>6384222.5</v>
      </c>
      <c r="F204" s="734">
        <v>544432.21</v>
      </c>
      <c r="G204" s="734">
        <v>2677094.4299999992</v>
      </c>
      <c r="H204" s="734">
        <v>2669360.96</v>
      </c>
      <c r="I204" s="408">
        <f>G204-H204</f>
        <v>7733.4699999992736</v>
      </c>
      <c r="J204" s="408">
        <f>IF(I204=0,"",I204/H204)</f>
        <v>2.8971241116822481E-3</v>
      </c>
      <c r="K204" s="736">
        <v>6988122</v>
      </c>
      <c r="L204" s="100"/>
    </row>
    <row r="205" spans="1:12" ht="22.5" x14ac:dyDescent="0.25">
      <c r="A205" s="696" t="str">
        <f t="shared" si="51"/>
        <v>Town Planning, Building Regulations and Enforcement, and City Engineer</v>
      </c>
      <c r="B205" s="621"/>
      <c r="C205" s="734"/>
      <c r="D205" s="734"/>
      <c r="E205" s="734"/>
      <c r="F205" s="734"/>
      <c r="G205" s="734"/>
      <c r="H205" s="734"/>
      <c r="I205" s="408">
        <f>G205-H205</f>
        <v>0</v>
      </c>
      <c r="J205" s="408" t="str">
        <f>IF(I205=0,"",I205/H205)</f>
        <v/>
      </c>
      <c r="K205" s="736"/>
      <c r="L205" s="100"/>
    </row>
    <row r="206" spans="1:12" x14ac:dyDescent="0.25">
      <c r="A206" s="696" t="str">
        <f t="shared" si="5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51"/>
        <v>Provincial Planning</v>
      </c>
      <c r="B207" s="621"/>
      <c r="C207" s="734"/>
      <c r="D207" s="734"/>
      <c r="E207" s="734"/>
      <c r="F207" s="734"/>
      <c r="G207" s="734"/>
      <c r="H207" s="734"/>
      <c r="I207" s="408">
        <f t="shared" si="35"/>
        <v>0</v>
      </c>
      <c r="J207" s="408" t="str">
        <f t="shared" si="36"/>
        <v/>
      </c>
      <c r="K207" s="736"/>
      <c r="L207" s="100"/>
    </row>
    <row r="208" spans="1:12" x14ac:dyDescent="0.25">
      <c r="A208" s="696" t="str">
        <f t="shared" si="51"/>
        <v>Support to Local Municipalities</v>
      </c>
      <c r="B208" s="621"/>
      <c r="C208" s="734"/>
      <c r="D208" s="734"/>
      <c r="E208" s="734"/>
      <c r="F208" s="734"/>
      <c r="G208" s="734"/>
      <c r="H208" s="734"/>
      <c r="I208" s="408">
        <f t="shared" si="35"/>
        <v>0</v>
      </c>
      <c r="J208" s="408" t="str">
        <f t="shared" si="36"/>
        <v/>
      </c>
      <c r="K208" s="736"/>
      <c r="L208" s="100"/>
    </row>
    <row r="209" spans="1:12" x14ac:dyDescent="0.25">
      <c r="A209" s="608" t="str">
        <f t="shared" si="51"/>
        <v>Road transport</v>
      </c>
      <c r="B209" s="621"/>
      <c r="C209" s="612">
        <f t="shared" ref="C209:H209" si="54">SUM(C210:C213)</f>
        <v>154518000.08999997</v>
      </c>
      <c r="D209" s="612">
        <f t="shared" si="54"/>
        <v>190142206</v>
      </c>
      <c r="E209" s="612">
        <f t="shared" si="54"/>
        <v>175770680.57999998</v>
      </c>
      <c r="F209" s="612">
        <f t="shared" si="54"/>
        <v>11472127.979999999</v>
      </c>
      <c r="G209" s="612">
        <f t="shared" si="54"/>
        <v>66235897.5</v>
      </c>
      <c r="H209" s="612">
        <f t="shared" si="54"/>
        <v>59328640.629999995</v>
      </c>
      <c r="I209" s="612">
        <f t="shared" si="35"/>
        <v>6907256.8700000048</v>
      </c>
      <c r="J209" s="612">
        <f t="shared" si="36"/>
        <v>0.11642364963452906</v>
      </c>
      <c r="K209" s="615">
        <f>SUM(K210:K213)</f>
        <v>190142206</v>
      </c>
      <c r="L209" s="100"/>
    </row>
    <row r="210" spans="1:12" x14ac:dyDescent="0.25">
      <c r="A210" s="696" t="str">
        <f t="shared" si="51"/>
        <v>Public Transport</v>
      </c>
      <c r="B210" s="621"/>
      <c r="C210" s="734"/>
      <c r="D210" s="734"/>
      <c r="E210" s="734"/>
      <c r="F210" s="734"/>
      <c r="G210" s="734"/>
      <c r="H210" s="734"/>
      <c r="I210" s="408">
        <f t="shared" si="35"/>
        <v>0</v>
      </c>
      <c r="J210" s="408" t="str">
        <f t="shared" si="36"/>
        <v/>
      </c>
      <c r="K210" s="736"/>
      <c r="L210" s="100"/>
    </row>
    <row r="211" spans="1:12" x14ac:dyDescent="0.25">
      <c r="A211" s="696" t="str">
        <f t="shared" si="5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51"/>
        <v>Roads</v>
      </c>
      <c r="B212" s="621"/>
      <c r="C212" s="734">
        <v>154518000.08999997</v>
      </c>
      <c r="D212" s="734">
        <v>190142206</v>
      </c>
      <c r="E212" s="734">
        <v>175770680.57999998</v>
      </c>
      <c r="F212" s="734">
        <v>11472127.979999999</v>
      </c>
      <c r="G212" s="734">
        <v>66235897.5</v>
      </c>
      <c r="H212" s="734">
        <v>59328640.629999995</v>
      </c>
      <c r="I212" s="408">
        <f t="shared" si="35"/>
        <v>6907256.8700000048</v>
      </c>
      <c r="J212" s="408">
        <f t="shared" si="36"/>
        <v>0.11642364963452906</v>
      </c>
      <c r="K212" s="736">
        <v>190142206</v>
      </c>
      <c r="L212" s="100"/>
    </row>
    <row r="213" spans="1:12" x14ac:dyDescent="0.25">
      <c r="A213" s="696" t="str">
        <f t="shared" si="51"/>
        <v>Taxi Ranks</v>
      </c>
      <c r="B213" s="621"/>
      <c r="C213" s="734"/>
      <c r="D213" s="734"/>
      <c r="E213" s="734"/>
      <c r="F213" s="734"/>
      <c r="G213" s="734"/>
      <c r="H213" s="734"/>
      <c r="I213" s="408">
        <f t="shared" si="35"/>
        <v>0</v>
      </c>
      <c r="J213" s="408" t="str">
        <f t="shared" si="36"/>
        <v/>
      </c>
      <c r="K213" s="736"/>
      <c r="L213" s="100"/>
    </row>
    <row r="214" spans="1:12" x14ac:dyDescent="0.25">
      <c r="A214" s="608" t="str">
        <f t="shared" si="51"/>
        <v>Environmental protection</v>
      </c>
      <c r="B214" s="621"/>
      <c r="C214" s="612">
        <f t="shared" ref="C214:K214" si="55">SUM(C215:C220)</f>
        <v>0</v>
      </c>
      <c r="D214" s="612">
        <f t="shared" si="55"/>
        <v>0</v>
      </c>
      <c r="E214" s="612">
        <f t="shared" si="55"/>
        <v>0</v>
      </c>
      <c r="F214" s="612">
        <f t="shared" si="55"/>
        <v>0</v>
      </c>
      <c r="G214" s="612">
        <f t="shared" si="55"/>
        <v>0</v>
      </c>
      <c r="H214" s="612">
        <f t="shared" si="55"/>
        <v>0</v>
      </c>
      <c r="I214" s="612">
        <f t="shared" si="35"/>
        <v>0</v>
      </c>
      <c r="J214" s="612" t="str">
        <f t="shared" si="36"/>
        <v/>
      </c>
      <c r="K214" s="615">
        <f t="shared" si="55"/>
        <v>0</v>
      </c>
      <c r="L214" s="100"/>
    </row>
    <row r="215" spans="1:12" x14ac:dyDescent="0.25">
      <c r="A215" s="696" t="str">
        <f t="shared" si="51"/>
        <v>Biodiversity and Landscape</v>
      </c>
      <c r="B215" s="621"/>
      <c r="C215" s="734"/>
      <c r="D215" s="734"/>
      <c r="E215" s="734"/>
      <c r="F215" s="734"/>
      <c r="G215" s="734"/>
      <c r="H215" s="734"/>
      <c r="I215" s="408">
        <f t="shared" si="35"/>
        <v>0</v>
      </c>
      <c r="J215" s="408" t="str">
        <f t="shared" si="36"/>
        <v/>
      </c>
      <c r="K215" s="736"/>
      <c r="L215" s="100"/>
    </row>
    <row r="216" spans="1:12" x14ac:dyDescent="0.25">
      <c r="A216" s="696" t="str">
        <f t="shared" si="51"/>
        <v>Coastal Protection</v>
      </c>
      <c r="B216" s="621"/>
      <c r="C216" s="734"/>
      <c r="D216" s="734"/>
      <c r="E216" s="734"/>
      <c r="F216" s="734"/>
      <c r="G216" s="734"/>
      <c r="H216" s="734"/>
      <c r="I216" s="408">
        <f t="shared" si="35"/>
        <v>0</v>
      </c>
      <c r="J216" s="408" t="str">
        <f t="shared" si="36"/>
        <v/>
      </c>
      <c r="K216" s="736"/>
      <c r="L216" s="100"/>
    </row>
    <row r="217" spans="1:12" x14ac:dyDescent="0.25">
      <c r="A217" s="696" t="str">
        <f t="shared" si="51"/>
        <v>Indigenous Forests</v>
      </c>
      <c r="B217" s="621"/>
      <c r="C217" s="734"/>
      <c r="D217" s="734"/>
      <c r="E217" s="734"/>
      <c r="F217" s="734"/>
      <c r="G217" s="734"/>
      <c r="H217" s="734"/>
      <c r="I217" s="408">
        <f t="shared" si="35"/>
        <v>0</v>
      </c>
      <c r="J217" s="408" t="str">
        <f t="shared" si="36"/>
        <v/>
      </c>
      <c r="K217" s="736"/>
      <c r="L217" s="100"/>
    </row>
    <row r="218" spans="1:12" x14ac:dyDescent="0.25">
      <c r="A218" s="696" t="str">
        <f t="shared" si="51"/>
        <v>Nature Conservation</v>
      </c>
      <c r="B218" s="621"/>
      <c r="C218" s="734"/>
      <c r="D218" s="734"/>
      <c r="E218" s="734"/>
      <c r="F218" s="734"/>
      <c r="G218" s="734"/>
      <c r="H218" s="734"/>
      <c r="I218" s="408">
        <f>G218-H218</f>
        <v>0</v>
      </c>
      <c r="J218" s="408" t="str">
        <f>IF(I218=0,"",I218/H218)</f>
        <v/>
      </c>
      <c r="K218" s="736"/>
      <c r="L218" s="100"/>
    </row>
    <row r="219" spans="1:12" x14ac:dyDescent="0.25">
      <c r="A219" s="696" t="str">
        <f t="shared" si="51"/>
        <v>Pollution Control</v>
      </c>
      <c r="B219" s="621"/>
      <c r="C219" s="734"/>
      <c r="D219" s="734"/>
      <c r="E219" s="734"/>
      <c r="F219" s="734"/>
      <c r="G219" s="734"/>
      <c r="H219" s="734"/>
      <c r="I219" s="408">
        <f>G219-H219</f>
        <v>0</v>
      </c>
      <c r="J219" s="408" t="str">
        <f>IF(I219=0,"",I219/H219)</f>
        <v/>
      </c>
      <c r="K219" s="736"/>
      <c r="L219" s="100"/>
    </row>
    <row r="220" spans="1:12" x14ac:dyDescent="0.25">
      <c r="A220" s="696" t="str">
        <f t="shared" si="51"/>
        <v>Soil Conservation</v>
      </c>
      <c r="B220" s="621"/>
      <c r="C220" s="734"/>
      <c r="D220" s="734"/>
      <c r="E220" s="734"/>
      <c r="F220" s="734"/>
      <c r="G220" s="734"/>
      <c r="H220" s="734"/>
      <c r="I220" s="408">
        <f t="shared" si="35"/>
        <v>0</v>
      </c>
      <c r="J220" s="408" t="str">
        <f t="shared" si="36"/>
        <v/>
      </c>
      <c r="K220" s="736"/>
      <c r="L220" s="100"/>
    </row>
    <row r="221" spans="1:12" x14ac:dyDescent="0.25">
      <c r="A221" s="414" t="str">
        <f t="shared" si="51"/>
        <v>Trading services</v>
      </c>
      <c r="B221" s="621"/>
      <c r="C221" s="606">
        <f>C222+C226+C230+C235</f>
        <v>612203714.71999991</v>
      </c>
      <c r="D221" s="606">
        <f t="shared" ref="D221:I221" si="56">D222+D226+D230+D235</f>
        <v>682668925.91999996</v>
      </c>
      <c r="E221" s="606">
        <f t="shared" si="56"/>
        <v>648743192.88</v>
      </c>
      <c r="F221" s="606">
        <f t="shared" si="56"/>
        <v>101782234.09999995</v>
      </c>
      <c r="G221" s="606">
        <f t="shared" si="56"/>
        <v>261789920.22000003</v>
      </c>
      <c r="H221" s="606">
        <f t="shared" si="56"/>
        <v>225119043.88000005</v>
      </c>
      <c r="I221" s="606">
        <f t="shared" si="56"/>
        <v>36670876.339999959</v>
      </c>
      <c r="J221" s="606">
        <f t="shared" si="36"/>
        <v>0.16289548724073033</v>
      </c>
      <c r="K221" s="607">
        <f>K222+K226+K230+K235</f>
        <v>682668925.91999996</v>
      </c>
      <c r="L221" s="100"/>
    </row>
    <row r="222" spans="1:12" x14ac:dyDescent="0.25">
      <c r="A222" s="608" t="str">
        <f t="shared" si="51"/>
        <v>Energy sources</v>
      </c>
      <c r="B222" s="621"/>
      <c r="C222" s="612">
        <f t="shared" ref="C222:K222" si="57">SUM(C223:C225)</f>
        <v>515290068.2899999</v>
      </c>
      <c r="D222" s="612">
        <f t="shared" si="57"/>
        <v>591014579</v>
      </c>
      <c r="E222" s="612">
        <f t="shared" si="57"/>
        <v>569099023.00999999</v>
      </c>
      <c r="F222" s="612">
        <f t="shared" si="57"/>
        <v>96044811.899999961</v>
      </c>
      <c r="G222" s="612">
        <f t="shared" si="57"/>
        <v>225936525.90000001</v>
      </c>
      <c r="H222" s="612">
        <f t="shared" si="57"/>
        <v>192117754.58000004</v>
      </c>
      <c r="I222" s="612">
        <f t="shared" si="35"/>
        <v>33818771.319999963</v>
      </c>
      <c r="J222" s="612">
        <f t="shared" si="36"/>
        <v>0.17603147295747432</v>
      </c>
      <c r="K222" s="615">
        <f t="shared" si="57"/>
        <v>591014579</v>
      </c>
      <c r="L222" s="100"/>
    </row>
    <row r="223" spans="1:12" x14ac:dyDescent="0.25">
      <c r="A223" s="696" t="str">
        <f t="shared" si="51"/>
        <v xml:space="preserve">Electricity </v>
      </c>
      <c r="B223" s="621"/>
      <c r="C223" s="734">
        <v>515290068.2899999</v>
      </c>
      <c r="D223" s="734">
        <v>591014579</v>
      </c>
      <c r="E223" s="734">
        <v>569099023.00999999</v>
      </c>
      <c r="F223" s="734">
        <v>96044811.899999961</v>
      </c>
      <c r="G223" s="734">
        <v>225936525.90000001</v>
      </c>
      <c r="H223" s="734">
        <v>192117754.58000004</v>
      </c>
      <c r="I223" s="408">
        <f t="shared" si="35"/>
        <v>33818771.319999963</v>
      </c>
      <c r="J223" s="408">
        <f t="shared" si="36"/>
        <v>0.17603147295747432</v>
      </c>
      <c r="K223" s="736">
        <v>591014579</v>
      </c>
      <c r="L223" s="100"/>
    </row>
    <row r="224" spans="1:12" x14ac:dyDescent="0.25">
      <c r="A224" s="696" t="str">
        <f t="shared" ref="A224:A246" si="58">A102</f>
        <v>Street Lighting and Signal Systems</v>
      </c>
      <c r="B224" s="621"/>
      <c r="C224" s="734"/>
      <c r="D224" s="734"/>
      <c r="E224" s="734"/>
      <c r="F224" s="734"/>
      <c r="G224" s="734"/>
      <c r="H224" s="734"/>
      <c r="I224" s="408">
        <f>G224-H224</f>
        <v>0</v>
      </c>
      <c r="J224" s="408" t="str">
        <f>IF(I224=0,"",I224/H224)</f>
        <v/>
      </c>
      <c r="K224" s="736"/>
      <c r="L224" s="100"/>
    </row>
    <row r="225" spans="1:12" x14ac:dyDescent="0.25">
      <c r="A225" s="696" t="str">
        <f t="shared" si="58"/>
        <v>Nonelectric Energy</v>
      </c>
      <c r="B225" s="621"/>
      <c r="C225" s="734"/>
      <c r="D225" s="734"/>
      <c r="E225" s="734"/>
      <c r="F225" s="734"/>
      <c r="G225" s="734"/>
      <c r="H225" s="734"/>
      <c r="I225" s="408">
        <f t="shared" si="35"/>
        <v>0</v>
      </c>
      <c r="J225" s="408" t="str">
        <f t="shared" si="36"/>
        <v/>
      </c>
      <c r="K225" s="736"/>
      <c r="L225" s="100"/>
    </row>
    <row r="226" spans="1:12" x14ac:dyDescent="0.25">
      <c r="A226" s="608" t="str">
        <f t="shared" si="58"/>
        <v>Water management</v>
      </c>
      <c r="B226" s="621"/>
      <c r="C226" s="612">
        <f t="shared" ref="C226:K226" si="59">SUM(C227:C229)</f>
        <v>0</v>
      </c>
      <c r="D226" s="612">
        <f t="shared" si="59"/>
        <v>0</v>
      </c>
      <c r="E226" s="612">
        <f t="shared" si="59"/>
        <v>0</v>
      </c>
      <c r="F226" s="612">
        <f t="shared" si="59"/>
        <v>0</v>
      </c>
      <c r="G226" s="612">
        <f t="shared" si="59"/>
        <v>0</v>
      </c>
      <c r="H226" s="612">
        <f t="shared" si="59"/>
        <v>0</v>
      </c>
      <c r="I226" s="612">
        <f t="shared" si="35"/>
        <v>0</v>
      </c>
      <c r="J226" s="612" t="str">
        <f t="shared" si="36"/>
        <v/>
      </c>
      <c r="K226" s="615">
        <f t="shared" si="59"/>
        <v>0</v>
      </c>
      <c r="L226" s="100"/>
    </row>
    <row r="227" spans="1:12" x14ac:dyDescent="0.25">
      <c r="A227" s="696" t="str">
        <f t="shared" si="58"/>
        <v>Water Treatment</v>
      </c>
      <c r="B227" s="621"/>
      <c r="C227" s="734"/>
      <c r="D227" s="734"/>
      <c r="E227" s="734"/>
      <c r="F227" s="734"/>
      <c r="G227" s="734"/>
      <c r="H227" s="734"/>
      <c r="I227" s="408">
        <f t="shared" si="35"/>
        <v>0</v>
      </c>
      <c r="J227" s="408" t="str">
        <f t="shared" si="36"/>
        <v/>
      </c>
      <c r="K227" s="736"/>
      <c r="L227" s="100"/>
    </row>
    <row r="228" spans="1:12" x14ac:dyDescent="0.25">
      <c r="A228" s="696" t="str">
        <f t="shared" si="58"/>
        <v>Water Distribution</v>
      </c>
      <c r="B228" s="621"/>
      <c r="C228" s="734"/>
      <c r="D228" s="734"/>
      <c r="E228" s="734"/>
      <c r="F228" s="734"/>
      <c r="G228" s="734"/>
      <c r="H228" s="734"/>
      <c r="I228" s="408">
        <f>G228-H228</f>
        <v>0</v>
      </c>
      <c r="J228" s="408" t="str">
        <f>IF(I228=0,"",I228/H228)</f>
        <v/>
      </c>
      <c r="K228" s="736"/>
      <c r="L228" s="100"/>
    </row>
    <row r="229" spans="1:12" x14ac:dyDescent="0.25">
      <c r="A229" s="696" t="str">
        <f t="shared" si="58"/>
        <v>Water Storage</v>
      </c>
      <c r="B229" s="621"/>
      <c r="C229" s="734"/>
      <c r="D229" s="734"/>
      <c r="E229" s="734"/>
      <c r="F229" s="734"/>
      <c r="G229" s="734"/>
      <c r="H229" s="734"/>
      <c r="I229" s="408">
        <f t="shared" si="35"/>
        <v>0</v>
      </c>
      <c r="J229" s="408" t="str">
        <f t="shared" si="36"/>
        <v/>
      </c>
      <c r="K229" s="736"/>
      <c r="L229" s="100"/>
    </row>
    <row r="230" spans="1:12" x14ac:dyDescent="0.25">
      <c r="A230" s="608" t="str">
        <f t="shared" si="58"/>
        <v>Waste water management</v>
      </c>
      <c r="B230" s="621"/>
      <c r="C230" s="612">
        <f t="shared" ref="C230:K230" si="60">SUM(C231:C234)</f>
        <v>4516272.6499999994</v>
      </c>
      <c r="D230" s="612">
        <f t="shared" si="60"/>
        <v>5765190</v>
      </c>
      <c r="E230" s="612">
        <f t="shared" si="60"/>
        <v>5017505</v>
      </c>
      <c r="F230" s="612">
        <f t="shared" si="60"/>
        <v>327335.09999999998</v>
      </c>
      <c r="G230" s="612">
        <f t="shared" si="60"/>
        <v>2249373.58</v>
      </c>
      <c r="H230" s="612">
        <f t="shared" si="60"/>
        <v>2219008.62</v>
      </c>
      <c r="I230" s="612">
        <f t="shared" si="35"/>
        <v>30364.959999999963</v>
      </c>
      <c r="J230" s="612">
        <f t="shared" si="36"/>
        <v>1.3684020749770662E-2</v>
      </c>
      <c r="K230" s="615">
        <f t="shared" si="60"/>
        <v>5765190</v>
      </c>
      <c r="L230" s="100"/>
    </row>
    <row r="231" spans="1:12" x14ac:dyDescent="0.25">
      <c r="A231" s="696" t="str">
        <f t="shared" si="58"/>
        <v>Public Toilets</v>
      </c>
      <c r="B231" s="621"/>
      <c r="C231" s="734">
        <v>4516272.6499999994</v>
      </c>
      <c r="D231" s="734">
        <v>5765190</v>
      </c>
      <c r="E231" s="734">
        <v>5017505</v>
      </c>
      <c r="F231" s="734">
        <v>327335.09999999998</v>
      </c>
      <c r="G231" s="734">
        <v>2249373.58</v>
      </c>
      <c r="H231" s="734">
        <v>2219008.62</v>
      </c>
      <c r="I231" s="408">
        <f t="shared" si="35"/>
        <v>30364.959999999963</v>
      </c>
      <c r="J231" s="408">
        <f t="shared" si="36"/>
        <v>1.3684020749770662E-2</v>
      </c>
      <c r="K231" s="736">
        <v>5765190</v>
      </c>
      <c r="L231" s="100"/>
    </row>
    <row r="232" spans="1:12" x14ac:dyDescent="0.25">
      <c r="A232" s="696" t="str">
        <f t="shared" si="58"/>
        <v>Sewerage</v>
      </c>
      <c r="B232" s="621"/>
      <c r="C232" s="734"/>
      <c r="D232" s="734"/>
      <c r="E232" s="734"/>
      <c r="F232" s="734"/>
      <c r="G232" s="734"/>
      <c r="H232" s="734"/>
      <c r="I232" s="408">
        <f t="shared" si="35"/>
        <v>0</v>
      </c>
      <c r="J232" s="408" t="str">
        <f t="shared" si="36"/>
        <v/>
      </c>
      <c r="K232" s="736"/>
      <c r="L232" s="100"/>
    </row>
    <row r="233" spans="1:12" x14ac:dyDescent="0.25">
      <c r="A233" s="696" t="str">
        <f t="shared" si="58"/>
        <v>Storm Water Management</v>
      </c>
      <c r="B233" s="621"/>
      <c r="C233" s="734"/>
      <c r="D233" s="734"/>
      <c r="E233" s="734"/>
      <c r="F233" s="734"/>
      <c r="G233" s="734"/>
      <c r="H233" s="734"/>
      <c r="I233" s="408">
        <f>G233-H233</f>
        <v>0</v>
      </c>
      <c r="J233" s="408" t="str">
        <f>IF(I233=0,"",I233/H233)</f>
        <v/>
      </c>
      <c r="K233" s="736"/>
      <c r="L233" s="100"/>
    </row>
    <row r="234" spans="1:12" x14ac:dyDescent="0.25">
      <c r="A234" s="696" t="str">
        <f t="shared" si="58"/>
        <v>Waste Water Treatment</v>
      </c>
      <c r="B234" s="621"/>
      <c r="C234" s="734"/>
      <c r="D234" s="734"/>
      <c r="E234" s="734"/>
      <c r="F234" s="734"/>
      <c r="G234" s="734"/>
      <c r="H234" s="734"/>
      <c r="I234" s="408">
        <f t="shared" si="35"/>
        <v>0</v>
      </c>
      <c r="J234" s="408" t="str">
        <f t="shared" si="36"/>
        <v/>
      </c>
      <c r="K234" s="736"/>
      <c r="L234" s="100"/>
    </row>
    <row r="235" spans="1:12" x14ac:dyDescent="0.25">
      <c r="A235" s="608" t="str">
        <f t="shared" si="58"/>
        <v>Waste management</v>
      </c>
      <c r="B235" s="621"/>
      <c r="C235" s="612">
        <f t="shared" ref="C235:H235" si="61">SUM(C236:C239)</f>
        <v>92397373.780000001</v>
      </c>
      <c r="D235" s="612">
        <f t="shared" si="61"/>
        <v>85889156.920000002</v>
      </c>
      <c r="E235" s="612">
        <f t="shared" si="61"/>
        <v>74626664.870000005</v>
      </c>
      <c r="F235" s="612">
        <f t="shared" si="61"/>
        <v>5410087.1000000006</v>
      </c>
      <c r="G235" s="612">
        <f t="shared" si="61"/>
        <v>33604020.739999995</v>
      </c>
      <c r="H235" s="612">
        <f t="shared" si="61"/>
        <v>30782280.680000003</v>
      </c>
      <c r="I235" s="612">
        <f t="shared" si="35"/>
        <v>2821740.0599999912</v>
      </c>
      <c r="J235" s="612">
        <f t="shared" si="36"/>
        <v>9.1667673663743329E-2</v>
      </c>
      <c r="K235" s="612">
        <f>SUM(K236:K239)</f>
        <v>85889156.920000002</v>
      </c>
      <c r="L235" s="100"/>
    </row>
    <row r="236" spans="1:12" x14ac:dyDescent="0.25">
      <c r="A236" s="696" t="str">
        <f t="shared" si="58"/>
        <v>Recycling</v>
      </c>
      <c r="B236" s="621"/>
      <c r="C236" s="734"/>
      <c r="D236" s="734"/>
      <c r="E236" s="734"/>
      <c r="F236" s="734"/>
      <c r="G236" s="734"/>
      <c r="H236" s="734"/>
      <c r="I236" s="408">
        <f>G236-H236</f>
        <v>0</v>
      </c>
      <c r="J236" s="408" t="str">
        <f>IF(I236=0,"",I236/H236)</f>
        <v/>
      </c>
      <c r="K236" s="736"/>
      <c r="L236" s="100"/>
    </row>
    <row r="237" spans="1:12" x14ac:dyDescent="0.25">
      <c r="A237" s="696" t="str">
        <f t="shared" si="58"/>
        <v>Solid Waste Disposal (Landfill Sites)</v>
      </c>
      <c r="B237" s="621"/>
      <c r="C237" s="734"/>
      <c r="D237" s="734"/>
      <c r="E237" s="734"/>
      <c r="F237" s="734"/>
      <c r="G237" s="734"/>
      <c r="H237" s="734"/>
      <c r="I237" s="408">
        <f>G237-H237</f>
        <v>0</v>
      </c>
      <c r="J237" s="408" t="str">
        <f>IF(I237=0,"",I237/H237)</f>
        <v/>
      </c>
      <c r="K237" s="736"/>
      <c r="L237" s="100"/>
    </row>
    <row r="238" spans="1:12" x14ac:dyDescent="0.25">
      <c r="A238" s="696" t="str">
        <f t="shared" si="58"/>
        <v>Solid Waste Removal</v>
      </c>
      <c r="B238" s="621"/>
      <c r="C238" s="734">
        <v>67894609.459999993</v>
      </c>
      <c r="D238" s="734">
        <v>57072030.920000002</v>
      </c>
      <c r="E238" s="734">
        <v>49125598.870000005</v>
      </c>
      <c r="F238" s="734">
        <v>3253604.95</v>
      </c>
      <c r="G238" s="734">
        <v>20423698.369999997</v>
      </c>
      <c r="H238" s="734">
        <v>19284218.950000003</v>
      </c>
      <c r="I238" s="408">
        <f>G238-H238</f>
        <v>1139479.4199999943</v>
      </c>
      <c r="J238" s="408">
        <f>IF(I238=0,"",I238/H238)</f>
        <v>5.9088699571106774E-2</v>
      </c>
      <c r="K238" s="736">
        <v>57072030.920000002</v>
      </c>
      <c r="L238" s="100"/>
    </row>
    <row r="239" spans="1:12" x14ac:dyDescent="0.25">
      <c r="A239" s="696" t="str">
        <f t="shared" si="58"/>
        <v>Street Cleaning</v>
      </c>
      <c r="B239" s="415"/>
      <c r="C239" s="734">
        <v>24502764.32</v>
      </c>
      <c r="D239" s="734">
        <v>28817126</v>
      </c>
      <c r="E239" s="734">
        <v>25501066</v>
      </c>
      <c r="F239" s="734">
        <v>2156482.1500000004</v>
      </c>
      <c r="G239" s="734">
        <v>13180322.370000001</v>
      </c>
      <c r="H239" s="734">
        <v>11498061.73</v>
      </c>
      <c r="I239" s="408">
        <f t="shared" si="35"/>
        <v>1682260.6400000006</v>
      </c>
      <c r="J239" s="408">
        <f t="shared" si="36"/>
        <v>0.14630819345931625</v>
      </c>
      <c r="K239" s="736">
        <v>28817126</v>
      </c>
      <c r="L239" s="100"/>
    </row>
    <row r="240" spans="1:12" x14ac:dyDescent="0.25">
      <c r="A240" s="414" t="str">
        <f t="shared" si="58"/>
        <v>Other</v>
      </c>
      <c r="B240" s="415"/>
      <c r="C240" s="612">
        <f t="shared" ref="C240:K240" si="62">SUM(C241:C246)</f>
        <v>0</v>
      </c>
      <c r="D240" s="612">
        <f t="shared" si="62"/>
        <v>0</v>
      </c>
      <c r="E240" s="612">
        <f t="shared" si="62"/>
        <v>0</v>
      </c>
      <c r="F240" s="612">
        <f t="shared" si="62"/>
        <v>0</v>
      </c>
      <c r="G240" s="612">
        <f t="shared" si="62"/>
        <v>0</v>
      </c>
      <c r="H240" s="612">
        <f t="shared" si="62"/>
        <v>0</v>
      </c>
      <c r="I240" s="612">
        <f t="shared" si="35"/>
        <v>0</v>
      </c>
      <c r="J240" s="612" t="str">
        <f t="shared" si="36"/>
        <v/>
      </c>
      <c r="K240" s="615">
        <f t="shared" si="62"/>
        <v>0</v>
      </c>
      <c r="L240" s="100"/>
    </row>
    <row r="241" spans="1:12" x14ac:dyDescent="0.25">
      <c r="A241" s="608" t="str">
        <f t="shared" si="58"/>
        <v>Abattoirs</v>
      </c>
      <c r="B241" s="415"/>
      <c r="C241" s="734"/>
      <c r="D241" s="734"/>
      <c r="E241" s="734"/>
      <c r="F241" s="734"/>
      <c r="G241" s="734"/>
      <c r="H241" s="734"/>
      <c r="I241" s="408">
        <f t="shared" si="35"/>
        <v>0</v>
      </c>
      <c r="J241" s="408" t="str">
        <f t="shared" si="36"/>
        <v/>
      </c>
      <c r="K241" s="736"/>
      <c r="L241" s="100"/>
    </row>
    <row r="242" spans="1:12" x14ac:dyDescent="0.25">
      <c r="A242" s="608" t="str">
        <f t="shared" si="58"/>
        <v>Air Transport</v>
      </c>
      <c r="B242" s="415"/>
      <c r="C242" s="734"/>
      <c r="D242" s="734"/>
      <c r="E242" s="734"/>
      <c r="F242" s="734"/>
      <c r="G242" s="734"/>
      <c r="H242" s="734"/>
      <c r="I242" s="408">
        <f t="shared" si="35"/>
        <v>0</v>
      </c>
      <c r="J242" s="408" t="str">
        <f t="shared" si="36"/>
        <v/>
      </c>
      <c r="K242" s="736"/>
      <c r="L242" s="100"/>
    </row>
    <row r="243" spans="1:12" x14ac:dyDescent="0.25">
      <c r="A243" s="608" t="str">
        <f t="shared" si="58"/>
        <v xml:space="preserve">Forestry </v>
      </c>
      <c r="B243" s="415"/>
      <c r="C243" s="734"/>
      <c r="D243" s="734"/>
      <c r="E243" s="734"/>
      <c r="F243" s="734"/>
      <c r="G243" s="734"/>
      <c r="H243" s="734"/>
      <c r="I243" s="408">
        <f>G243-H243</f>
        <v>0</v>
      </c>
      <c r="J243" s="408" t="str">
        <f>IF(I243=0,"",I243/H243)</f>
        <v/>
      </c>
      <c r="K243" s="736"/>
      <c r="L243" s="100"/>
    </row>
    <row r="244" spans="1:12" x14ac:dyDescent="0.25">
      <c r="A244" s="608" t="str">
        <f t="shared" si="58"/>
        <v>Licensing and Regulation</v>
      </c>
      <c r="B244" s="415"/>
      <c r="C244" s="734"/>
      <c r="D244" s="734"/>
      <c r="E244" s="734"/>
      <c r="F244" s="734"/>
      <c r="G244" s="734"/>
      <c r="H244" s="734"/>
      <c r="I244" s="408">
        <f t="shared" si="35"/>
        <v>0</v>
      </c>
      <c r="J244" s="408" t="str">
        <f t="shared" si="36"/>
        <v/>
      </c>
      <c r="K244" s="736"/>
      <c r="L244" s="100"/>
    </row>
    <row r="245" spans="1:12" x14ac:dyDescent="0.25">
      <c r="A245" s="608" t="str">
        <f t="shared" si="58"/>
        <v>Markets</v>
      </c>
      <c r="B245" s="415"/>
      <c r="C245" s="734"/>
      <c r="D245" s="734"/>
      <c r="E245" s="734"/>
      <c r="F245" s="734"/>
      <c r="G245" s="734"/>
      <c r="H245" s="734"/>
      <c r="I245" s="408">
        <f>G245-H245</f>
        <v>0</v>
      </c>
      <c r="J245" s="408" t="str">
        <f>IF(I245=0,"",I245/H245)</f>
        <v/>
      </c>
      <c r="K245" s="736"/>
      <c r="L245" s="100"/>
    </row>
    <row r="246" spans="1:12" x14ac:dyDescent="0.25">
      <c r="A246" s="608" t="str">
        <f t="shared" si="58"/>
        <v>Tourism</v>
      </c>
      <c r="B246" s="415"/>
      <c r="C246" s="734"/>
      <c r="D246" s="734"/>
      <c r="E246" s="734"/>
      <c r="F246" s="734"/>
      <c r="G246" s="734"/>
      <c r="H246" s="734"/>
      <c r="I246" s="408">
        <f>G246-H246</f>
        <v>0</v>
      </c>
      <c r="J246" s="408" t="str">
        <f>IF(I246=0,"",I246/H246)</f>
        <v/>
      </c>
      <c r="K246" s="736"/>
      <c r="L246" s="100"/>
    </row>
    <row r="247" spans="1:12" x14ac:dyDescent="0.25">
      <c r="A247" s="616" t="str">
        <f>"Total "&amp;A127</f>
        <v>Total Expenditure - Functional</v>
      </c>
      <c r="B247" s="415">
        <v>3</v>
      </c>
      <c r="C247" s="546">
        <f t="shared" ref="C247:I247" si="63">C128+C148+C197+C221+C240</f>
        <v>1212344673.4400001</v>
      </c>
      <c r="D247" s="546">
        <f t="shared" si="63"/>
        <v>1313896978.96</v>
      </c>
      <c r="E247" s="546">
        <f t="shared" si="63"/>
        <v>1228545633.4200001</v>
      </c>
      <c r="F247" s="546">
        <f t="shared" si="63"/>
        <v>148863527.03999996</v>
      </c>
      <c r="G247" s="546">
        <f t="shared" si="63"/>
        <v>504242527.13999999</v>
      </c>
      <c r="H247" s="546">
        <f t="shared" si="63"/>
        <v>444440195.72000003</v>
      </c>
      <c r="I247" s="546">
        <f t="shared" si="63"/>
        <v>59802331.41999995</v>
      </c>
      <c r="J247" s="546">
        <f>IF(I247=0,"",I247/H247)</f>
        <v>0.13455653200565992</v>
      </c>
      <c r="K247" s="598">
        <f>K128+K148+K197+K221+K240</f>
        <v>1313896978.96</v>
      </c>
      <c r="L247" s="100"/>
    </row>
    <row r="248" spans="1:12" x14ac:dyDescent="0.25">
      <c r="A248" s="622" t="str">
        <f>result</f>
        <v>Surplus/ (Deficit) for the year</v>
      </c>
      <c r="B248" s="623"/>
      <c r="C248" s="76">
        <f t="shared" ref="C248:H248" si="64">C125-C247</f>
        <v>-76991258.870000124</v>
      </c>
      <c r="D248" s="76">
        <f t="shared" si="64"/>
        <v>45279328.039999962</v>
      </c>
      <c r="E248" s="76">
        <f t="shared" si="64"/>
        <v>124667779.8499949</v>
      </c>
      <c r="F248" s="76">
        <f t="shared" si="64"/>
        <v>38428847.630000055</v>
      </c>
      <c r="G248" s="76">
        <f t="shared" si="64"/>
        <v>292427877.2700001</v>
      </c>
      <c r="H248" s="76">
        <f t="shared" si="64"/>
        <v>296732355.67999995</v>
      </c>
      <c r="I248" s="635">
        <f>G248-H248</f>
        <v>-4304478.4099998474</v>
      </c>
      <c r="J248" s="635">
        <f>IF(I248=0,"",I248/H248)</f>
        <v>-1.4506265756343246E-2</v>
      </c>
      <c r="K248" s="234">
        <f>K125-K247</f>
        <v>45279200.039999962</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1214</v>
      </c>
      <c r="B251" s="625"/>
      <c r="C251" s="627"/>
      <c r="D251" s="627"/>
      <c r="E251" s="628"/>
      <c r="F251" s="628"/>
      <c r="G251" s="628"/>
      <c r="H251" s="628"/>
      <c r="I251" s="637"/>
      <c r="J251" s="637"/>
      <c r="K251" s="628"/>
    </row>
    <row r="252" spans="1:12" x14ac:dyDescent="0.25">
      <c r="A252" s="585" t="s">
        <v>1215</v>
      </c>
      <c r="B252" s="625"/>
      <c r="C252" s="627"/>
      <c r="D252" s="627"/>
      <c r="E252" s="628"/>
      <c r="F252" s="628"/>
      <c r="G252" s="628"/>
      <c r="H252" s="628"/>
      <c r="I252" s="637"/>
      <c r="J252" s="637"/>
      <c r="K252" s="628"/>
    </row>
    <row r="253" spans="1:12" ht="25.9" customHeight="1" x14ac:dyDescent="0.25">
      <c r="A253" s="1027" t="s">
        <v>1216</v>
      </c>
      <c r="B253" s="1027"/>
      <c r="C253" s="1027"/>
      <c r="D253" s="1027"/>
      <c r="E253" s="1027"/>
      <c r="F253" s="1027"/>
      <c r="G253" s="1027"/>
      <c r="H253" s="1027"/>
      <c r="I253" s="1027"/>
      <c r="J253" s="1027"/>
      <c r="K253" s="1027"/>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-0.17000007629394531</v>
      </c>
      <c r="D256" s="629">
        <f>D125-'C4-FinPerf RE'!D53</f>
        <v>0</v>
      </c>
      <c r="E256" s="629">
        <f>E125-'C4-FinPerf RE'!E53</f>
        <v>-5.0067901611328125E-6</v>
      </c>
      <c r="F256" s="629">
        <f>F125-'C4-FinPerf RE'!F53</f>
        <v>0</v>
      </c>
      <c r="G256" s="629">
        <f>G125-'C4-FinPerf RE'!G53</f>
        <v>0</v>
      </c>
      <c r="H256" s="629">
        <f>H125-'C4-FinPerf RE'!H53</f>
        <v>0</v>
      </c>
      <c r="I256" s="629">
        <f>I125-'C4-FinPerf RE'!I53</f>
        <v>55497853.01000011</v>
      </c>
      <c r="J256" s="630"/>
      <c r="K256" s="629">
        <f>K125-'C4-FinPerf RE'!K53</f>
        <v>-128</v>
      </c>
    </row>
    <row r="257" spans="1:11" x14ac:dyDescent="0.25">
      <c r="A257" s="81" t="s">
        <v>185</v>
      </c>
      <c r="B257" s="64"/>
      <c r="C257" s="629">
        <f>C247-'C4-FinPerf RE'!C36</f>
        <v>7.440000057220459</v>
      </c>
      <c r="D257" s="629">
        <f>D247-'C4-FinPerf RE'!D36</f>
        <v>0</v>
      </c>
      <c r="E257" s="629">
        <f>E247-'C4-FinPerf RE'!E36</f>
        <v>1.8000001907348633</v>
      </c>
      <c r="F257" s="629">
        <f>F247-'C4-FinPerf RE'!F36</f>
        <v>0</v>
      </c>
      <c r="G257" s="629">
        <f>G247-'C4-FinPerf RE'!G36</f>
        <v>0</v>
      </c>
      <c r="H257" s="629">
        <f>H247-'C4-FinPerf RE'!H36</f>
        <v>0</v>
      </c>
      <c r="I257" s="629">
        <f>I247-'C4-FinPerf RE'!I36</f>
        <v>-6.7055225372314453E-8</v>
      </c>
      <c r="J257" s="630"/>
      <c r="K257" s="629">
        <f>K247-'C4-FinPerf RE'!K36</f>
        <v>0</v>
      </c>
    </row>
    <row r="261" spans="1:11" x14ac:dyDescent="0.25">
      <c r="E261" s="631"/>
    </row>
  </sheetData>
  <mergeCells count="4">
    <mergeCell ref="A253:K253"/>
    <mergeCell ref="A1:K1"/>
    <mergeCell ref="A2:A3"/>
    <mergeCell ref="B2:B3"/>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02E0D-11A6-49D2-9E12-2ECCC9B9E8A2}">
  <ds:schemaRefs>
    <ds:schemaRef ds:uri="http://schemas.microsoft.com/office/2006/documentManagement/types"/>
    <ds:schemaRef ds:uri="http://schemas.microsoft.com/office/infopath/2007/PartnerControls"/>
    <ds:schemaRef ds:uri="http://schemas.microsoft.com/sharepoint/v3"/>
    <ds:schemaRef ds:uri="http://www.w3.org/XML/1998/namespace"/>
    <ds:schemaRef ds:uri="http://purl.org/dc/dcmitype/"/>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Oupa Mbungela</cp:lastModifiedBy>
  <cp:lastPrinted>2019-10-08T08:36:09Z</cp:lastPrinted>
  <dcterms:created xsi:type="dcterms:W3CDTF">2004-04-07T16:19:08Z</dcterms:created>
  <dcterms:modified xsi:type="dcterms:W3CDTF">2020-01-15T13:22:39Z</dcterms:modified>
</cp:coreProperties>
</file>