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mokgadis_tzaneen_gov_za/Documents/Documents/Finance Monthly Report 2022-23/Audit Committee Reports/"/>
    </mc:Choice>
  </mc:AlternateContent>
  <xr:revisionPtr revIDLastSave="334" documentId="13_ncr:1_{16315758-CD27-4D93-B9FD-AC73EB23FD40}" xr6:coauthVersionLast="47" xr6:coauthVersionMax="47" xr10:uidLastSave="{9D3ED30E-5F99-4886-92D0-35884CDBE244}"/>
  <bookViews>
    <workbookView xWindow="-108" yWindow="-108" windowWidth="23256" windowHeight="12456" firstSheet="4" activeTab="4" xr2:uid="{00000000-000D-0000-FFFF-FFFF00000000}"/>
  </bookViews>
  <sheets>
    <sheet name="Q1" sheetId="1" state="hidden" r:id="rId1"/>
    <sheet name="Q2" sheetId="4" state="hidden" r:id="rId2"/>
    <sheet name="Q3 " sheetId="7" state="hidden" r:id="rId3"/>
    <sheet name="Q4 20212022" sheetId="8" state="hidden" r:id="rId4"/>
    <sheet name="Q3 2022-2023" sheetId="9" r:id="rId5"/>
  </sheets>
  <definedNames>
    <definedName name="_xlnm.Print_Area" localSheetId="0">'Q1'!$A$2:$D$59</definedName>
    <definedName name="_xlnm.Print_Area" localSheetId="1">'Q2'!$A$2:$D$59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3" i="9" l="1"/>
  <c r="X23" i="9" l="1"/>
  <c r="X24" i="9"/>
  <c r="X25" i="9"/>
  <c r="X27" i="9"/>
  <c r="X28" i="9"/>
  <c r="X30" i="9"/>
  <c r="X31" i="9"/>
  <c r="X32" i="9"/>
  <c r="X33" i="9"/>
  <c r="X34" i="9"/>
  <c r="X35" i="9"/>
  <c r="X37" i="9"/>
  <c r="X38" i="9"/>
  <c r="X40" i="9"/>
  <c r="X41" i="9"/>
  <c r="X42" i="9"/>
  <c r="X43" i="9"/>
  <c r="X44" i="9"/>
  <c r="X45" i="9"/>
  <c r="X46" i="9"/>
  <c r="X47" i="9"/>
  <c r="X49" i="9"/>
  <c r="X50" i="9"/>
  <c r="X51" i="9"/>
  <c r="X52" i="9"/>
  <c r="X5" i="9"/>
  <c r="X6" i="9"/>
  <c r="X7" i="9"/>
  <c r="X8" i="9"/>
  <c r="X9" i="9"/>
  <c r="X10" i="9"/>
  <c r="X11" i="9"/>
  <c r="X12" i="9"/>
  <c r="X13" i="9"/>
  <c r="X14" i="9"/>
  <c r="X15" i="9"/>
  <c r="X16" i="9"/>
  <c r="X4" i="9"/>
  <c r="X20" i="9"/>
  <c r="W26" i="9" l="1"/>
  <c r="W54" i="9" s="1"/>
  <c r="X54" i="9" s="1"/>
  <c r="X21" i="9"/>
  <c r="V26" i="9"/>
  <c r="V54" i="9" s="1"/>
  <c r="U26" i="9"/>
  <c r="U54" i="9" s="1"/>
  <c r="T48" i="9"/>
  <c r="S48" i="9"/>
  <c r="R48" i="9"/>
  <c r="X48" i="9" s="1"/>
  <c r="S26" i="9"/>
  <c r="R26" i="9"/>
  <c r="T26" i="9"/>
  <c r="Q26" i="9"/>
  <c r="Q39" i="9"/>
  <c r="P39" i="9"/>
  <c r="O39" i="9"/>
  <c r="X39" i="9" s="1"/>
  <c r="S54" i="9" l="1"/>
  <c r="R54" i="9"/>
  <c r="T54" i="9"/>
  <c r="P36" i="9"/>
  <c r="O36" i="9"/>
  <c r="X36" i="9" s="1"/>
  <c r="Q29" i="9"/>
  <c r="X29" i="9" s="1"/>
  <c r="Q22" i="9" l="1"/>
  <c r="X22" i="9" s="1"/>
  <c r="P26" i="9"/>
  <c r="P54" i="9" s="1"/>
  <c r="O26" i="9"/>
  <c r="N52" i="9"/>
  <c r="N51" i="9"/>
  <c r="N50" i="9"/>
  <c r="N49" i="9"/>
  <c r="L48" i="9"/>
  <c r="K48" i="9"/>
  <c r="J48" i="9"/>
  <c r="I48" i="9"/>
  <c r="H48" i="9"/>
  <c r="D48" i="9"/>
  <c r="C48" i="9"/>
  <c r="B48" i="9"/>
  <c r="N47" i="9"/>
  <c r="N46" i="9"/>
  <c r="N45" i="9"/>
  <c r="N44" i="9"/>
  <c r="N43" i="9"/>
  <c r="C42" i="9"/>
  <c r="N42" i="9" s="1"/>
  <c r="N41" i="9"/>
  <c r="N40" i="9"/>
  <c r="N39" i="9"/>
  <c r="M38" i="9"/>
  <c r="N38" i="9" s="1"/>
  <c r="N37" i="9"/>
  <c r="N36" i="9"/>
  <c r="G35" i="9"/>
  <c r="F35" i="9"/>
  <c r="E35" i="9"/>
  <c r="N34" i="9"/>
  <c r="N33" i="9"/>
  <c r="N32" i="9"/>
  <c r="J31" i="9"/>
  <c r="I31" i="9"/>
  <c r="H31" i="9"/>
  <c r="N30" i="9"/>
  <c r="N29" i="9"/>
  <c r="M28" i="9"/>
  <c r="L28" i="9"/>
  <c r="K28" i="9"/>
  <c r="J28" i="9"/>
  <c r="I28" i="9"/>
  <c r="H28" i="9"/>
  <c r="D28" i="9"/>
  <c r="C28" i="9"/>
  <c r="B28" i="9"/>
  <c r="E27" i="9"/>
  <c r="N27" i="9" s="1"/>
  <c r="M26" i="9"/>
  <c r="L26" i="9"/>
  <c r="K26" i="9"/>
  <c r="J26" i="9"/>
  <c r="I26" i="9"/>
  <c r="H26" i="9"/>
  <c r="G26" i="9"/>
  <c r="F26" i="9"/>
  <c r="E26" i="9"/>
  <c r="D26" i="9"/>
  <c r="C26" i="9"/>
  <c r="B26" i="9"/>
  <c r="N25" i="9"/>
  <c r="N24" i="9"/>
  <c r="N23" i="9"/>
  <c r="N22" i="9"/>
  <c r="M21" i="9"/>
  <c r="L21" i="9"/>
  <c r="K21" i="9"/>
  <c r="N20" i="9"/>
  <c r="N16" i="9"/>
  <c r="N15" i="9"/>
  <c r="B14" i="9"/>
  <c r="B17" i="9" s="1"/>
  <c r="N13" i="9"/>
  <c r="N12" i="9"/>
  <c r="N11" i="9"/>
  <c r="N10" i="9"/>
  <c r="N9" i="9"/>
  <c r="N7" i="9"/>
  <c r="J6" i="9"/>
  <c r="N6" i="9" s="1"/>
  <c r="N5" i="9"/>
  <c r="N4" i="9"/>
  <c r="M37" i="8"/>
  <c r="G54" i="9" l="1"/>
  <c r="X26" i="9"/>
  <c r="F54" i="9"/>
  <c r="J54" i="9"/>
  <c r="B54" i="9"/>
  <c r="B55" i="9" s="1"/>
  <c r="C3" i="9" s="1"/>
  <c r="C17" i="9" s="1"/>
  <c r="N31" i="9"/>
  <c r="N35" i="9"/>
  <c r="O54" i="9"/>
  <c r="N26" i="9"/>
  <c r="Q54" i="9"/>
  <c r="K54" i="9"/>
  <c r="C54" i="9"/>
  <c r="L54" i="9"/>
  <c r="D54" i="9"/>
  <c r="N28" i="9"/>
  <c r="M54" i="9"/>
  <c r="E54" i="9"/>
  <c r="H54" i="9"/>
  <c r="N48" i="9"/>
  <c r="I54" i="9"/>
  <c r="N14" i="9"/>
  <c r="N21" i="9"/>
  <c r="L47" i="8"/>
  <c r="K47" i="8"/>
  <c r="C55" i="9" l="1"/>
  <c r="D3" i="9" s="1"/>
  <c r="D17" i="9" s="1"/>
  <c r="D55" i="9" s="1"/>
  <c r="E3" i="9" s="1"/>
  <c r="E17" i="9" s="1"/>
  <c r="E55" i="9" s="1"/>
  <c r="F3" i="9" s="1"/>
  <c r="F17" i="9" s="1"/>
  <c r="F55" i="9" s="1"/>
  <c r="G3" i="9" s="1"/>
  <c r="G17" i="9" s="1"/>
  <c r="G55" i="9" s="1"/>
  <c r="H3" i="9" s="1"/>
  <c r="H17" i="9" s="1"/>
  <c r="H55" i="9" s="1"/>
  <c r="I3" i="9" s="1"/>
  <c r="I17" i="9" s="1"/>
  <c r="I55" i="9" s="1"/>
  <c r="J3" i="9" s="1"/>
  <c r="J17" i="9" s="1"/>
  <c r="J55" i="9" s="1"/>
  <c r="K3" i="9" s="1"/>
  <c r="K17" i="9" s="1"/>
  <c r="K55" i="9" s="1"/>
  <c r="L3" i="9" s="1"/>
  <c r="L17" i="9" s="1"/>
  <c r="L55" i="9" s="1"/>
  <c r="M3" i="9" s="1"/>
  <c r="M17" i="9" s="1"/>
  <c r="M55" i="9" s="1"/>
  <c r="O3" i="9" s="1"/>
  <c r="O17" i="9" s="1"/>
  <c r="O55" i="9" s="1"/>
  <c r="P3" i="9" s="1"/>
  <c r="P17" i="9" s="1"/>
  <c r="P55" i="9" s="1"/>
  <c r="N54" i="9"/>
  <c r="M27" i="8"/>
  <c r="L27" i="8"/>
  <c r="K27" i="8"/>
  <c r="N3" i="9" l="1"/>
  <c r="N17" i="9" s="1"/>
  <c r="N55" i="9" s="1"/>
  <c r="Q3" i="9"/>
  <c r="M25" i="8"/>
  <c r="L25" i="8"/>
  <c r="M20" i="8"/>
  <c r="M52" i="8" s="1"/>
  <c r="N21" i="8"/>
  <c r="N22" i="8"/>
  <c r="N23" i="8"/>
  <c r="N24" i="8"/>
  <c r="N28" i="8"/>
  <c r="N29" i="8"/>
  <c r="N31" i="8"/>
  <c r="N32" i="8"/>
  <c r="N33" i="8"/>
  <c r="N35" i="8"/>
  <c r="N36" i="8"/>
  <c r="N37" i="8"/>
  <c r="N38" i="8"/>
  <c r="N39" i="8"/>
  <c r="N40" i="8"/>
  <c r="N42" i="8"/>
  <c r="N43" i="8"/>
  <c r="N44" i="8"/>
  <c r="N45" i="8"/>
  <c r="N46" i="8"/>
  <c r="N48" i="8"/>
  <c r="N49" i="8"/>
  <c r="N50" i="8"/>
  <c r="N51" i="8"/>
  <c r="L20" i="8"/>
  <c r="L52" i="8" s="1"/>
  <c r="K25" i="8"/>
  <c r="K20" i="8"/>
  <c r="N7" i="8"/>
  <c r="N5" i="8"/>
  <c r="N8" i="8"/>
  <c r="N9" i="8"/>
  <c r="N10" i="8"/>
  <c r="N11" i="8"/>
  <c r="N12" i="8"/>
  <c r="N14" i="8"/>
  <c r="N15" i="8"/>
  <c r="N4" i="8"/>
  <c r="K50" i="7"/>
  <c r="K51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20" i="7"/>
  <c r="K6" i="7"/>
  <c r="K7" i="7"/>
  <c r="K8" i="7"/>
  <c r="K9" i="7"/>
  <c r="K10" i="7"/>
  <c r="K11" i="7"/>
  <c r="K12" i="7"/>
  <c r="K13" i="7"/>
  <c r="K14" i="7"/>
  <c r="K15" i="7"/>
  <c r="K5" i="7"/>
  <c r="J47" i="8"/>
  <c r="I47" i="8"/>
  <c r="H47" i="8"/>
  <c r="D47" i="8"/>
  <c r="C47" i="8"/>
  <c r="B47" i="8"/>
  <c r="C41" i="8"/>
  <c r="N41" i="8" s="1"/>
  <c r="G34" i="8"/>
  <c r="F34" i="8"/>
  <c r="E34" i="8"/>
  <c r="E52" i="8" s="1"/>
  <c r="J30" i="8"/>
  <c r="I30" i="8"/>
  <c r="H30" i="8"/>
  <c r="N30" i="8" s="1"/>
  <c r="J27" i="8"/>
  <c r="I27" i="8"/>
  <c r="H27" i="8"/>
  <c r="D27" i="8"/>
  <c r="C27" i="8"/>
  <c r="B27" i="8"/>
  <c r="E26" i="8"/>
  <c r="N26" i="8" s="1"/>
  <c r="R25" i="8"/>
  <c r="R52" i="8" s="1"/>
  <c r="J25" i="8"/>
  <c r="I25" i="8"/>
  <c r="H25" i="8"/>
  <c r="H52" i="8" s="1"/>
  <c r="G25" i="8"/>
  <c r="G52" i="8" s="1"/>
  <c r="F25" i="8"/>
  <c r="E25" i="8"/>
  <c r="D25" i="8"/>
  <c r="C25" i="8"/>
  <c r="B25" i="8"/>
  <c r="B52" i="8" s="1"/>
  <c r="N19" i="8"/>
  <c r="B13" i="8"/>
  <c r="N13" i="8" s="1"/>
  <c r="J6" i="8"/>
  <c r="N6" i="8" s="1"/>
  <c r="J47" i="7"/>
  <c r="I47" i="7"/>
  <c r="H47" i="7"/>
  <c r="D47" i="7"/>
  <c r="C47" i="7"/>
  <c r="B47" i="7"/>
  <c r="C41" i="7"/>
  <c r="G34" i="7"/>
  <c r="F34" i="7"/>
  <c r="E34" i="7"/>
  <c r="J30" i="7"/>
  <c r="I30" i="7"/>
  <c r="H30" i="7"/>
  <c r="J27" i="7"/>
  <c r="I27" i="7"/>
  <c r="H27" i="7"/>
  <c r="D27" i="7"/>
  <c r="C27" i="7"/>
  <c r="B27" i="7"/>
  <c r="E26" i="7"/>
  <c r="O25" i="7"/>
  <c r="O52" i="7" s="1"/>
  <c r="J25" i="7"/>
  <c r="I25" i="7"/>
  <c r="H25" i="7"/>
  <c r="G25" i="7"/>
  <c r="F25" i="7"/>
  <c r="E25" i="7"/>
  <c r="D25" i="7"/>
  <c r="C25" i="7"/>
  <c r="B25" i="7"/>
  <c r="K19" i="7"/>
  <c r="B13" i="7"/>
  <c r="J6" i="7"/>
  <c r="K4" i="7"/>
  <c r="Q17" i="9" l="1"/>
  <c r="Q55" i="9" s="1"/>
  <c r="R3" i="9" s="1"/>
  <c r="R17" i="9" s="1"/>
  <c r="R55" i="9" s="1"/>
  <c r="X17" i="9"/>
  <c r="K52" i="8"/>
  <c r="I52" i="8"/>
  <c r="N47" i="8"/>
  <c r="N27" i="8"/>
  <c r="N34" i="8"/>
  <c r="B16" i="8"/>
  <c r="B53" i="8" s="1"/>
  <c r="C3" i="8" s="1"/>
  <c r="J52" i="8"/>
  <c r="C52" i="8"/>
  <c r="N52" i="8" s="1"/>
  <c r="D52" i="8"/>
  <c r="N20" i="8"/>
  <c r="F52" i="8"/>
  <c r="N25" i="8"/>
  <c r="C52" i="7"/>
  <c r="F52" i="7"/>
  <c r="G52" i="7"/>
  <c r="D52" i="7"/>
  <c r="E52" i="7"/>
  <c r="H52" i="7"/>
  <c r="I52" i="7"/>
  <c r="J52" i="7"/>
  <c r="B52" i="7"/>
  <c r="B16" i="7"/>
  <c r="S3" i="9" l="1"/>
  <c r="S17" i="9" s="1"/>
  <c r="S55" i="9" s="1"/>
  <c r="R58" i="9"/>
  <c r="B53" i="7"/>
  <c r="C3" i="7" s="1"/>
  <c r="C16" i="8"/>
  <c r="C53" i="8" s="1"/>
  <c r="D3" i="8" s="1"/>
  <c r="D16" i="8" s="1"/>
  <c r="D53" i="8" s="1"/>
  <c r="E3" i="8" s="1"/>
  <c r="E16" i="8" s="1"/>
  <c r="E53" i="8" s="1"/>
  <c r="F3" i="8" s="1"/>
  <c r="F16" i="8" s="1"/>
  <c r="F53" i="8" s="1"/>
  <c r="G3" i="8" s="1"/>
  <c r="G16" i="8" s="1"/>
  <c r="G53" i="8" s="1"/>
  <c r="H3" i="8" s="1"/>
  <c r="H16" i="8" s="1"/>
  <c r="H53" i="8" s="1"/>
  <c r="I3" i="8" s="1"/>
  <c r="I16" i="8" s="1"/>
  <c r="I53" i="8" s="1"/>
  <c r="J3" i="8" s="1"/>
  <c r="J16" i="8" s="1"/>
  <c r="J53" i="8" s="1"/>
  <c r="K3" i="8" s="1"/>
  <c r="K16" i="8" s="1"/>
  <c r="K53" i="8" s="1"/>
  <c r="K52" i="7"/>
  <c r="T17" i="9" l="1"/>
  <c r="T55" i="9" s="1"/>
  <c r="S58" i="9"/>
  <c r="L3" i="8"/>
  <c r="L16" i="8" s="1"/>
  <c r="L53" i="8" s="1"/>
  <c r="N3" i="8"/>
  <c r="C16" i="7"/>
  <c r="C53" i="7" s="1"/>
  <c r="T58" i="9" l="1"/>
  <c r="U3" i="9"/>
  <c r="U17" i="9" s="1"/>
  <c r="U55" i="9" s="1"/>
  <c r="V3" i="9" s="1"/>
  <c r="M3" i="8"/>
  <c r="M16" i="8" s="1"/>
  <c r="M53" i="8" s="1"/>
  <c r="N16" i="8"/>
  <c r="N53" i="8" s="1"/>
  <c r="R3" i="8"/>
  <c r="R16" i="8" s="1"/>
  <c r="R53" i="8" s="1"/>
  <c r="D3" i="7"/>
  <c r="U58" i="9" l="1"/>
  <c r="V17" i="9"/>
  <c r="V55" i="9" s="1"/>
  <c r="D16" i="7"/>
  <c r="D53" i="7" s="1"/>
  <c r="K3" i="7"/>
  <c r="V58" i="9" l="1"/>
  <c r="W3" i="9"/>
  <c r="W17" i="9" s="1"/>
  <c r="W55" i="9" s="1"/>
  <c r="E3" i="7"/>
  <c r="E16" i="7" s="1"/>
  <c r="E53" i="7" s="1"/>
  <c r="F3" i="7" s="1"/>
  <c r="F16" i="7" s="1"/>
  <c r="F53" i="7" s="1"/>
  <c r="G3" i="7" s="1"/>
  <c r="G16" i="7" s="1"/>
  <c r="G53" i="7" s="1"/>
  <c r="H3" i="7" s="1"/>
  <c r="H16" i="7" s="1"/>
  <c r="H53" i="7" s="1"/>
  <c r="K16" i="7"/>
  <c r="K53" i="7" s="1"/>
  <c r="O3" i="7"/>
  <c r="O16" i="7" s="1"/>
  <c r="O53" i="7" s="1"/>
  <c r="W58" i="9" l="1"/>
  <c r="X55" i="9"/>
  <c r="I3" i="7"/>
  <c r="I16" i="7" s="1"/>
  <c r="I53" i="7" s="1"/>
  <c r="J3" i="7" l="1"/>
  <c r="J16" i="7" s="1"/>
  <c r="J53" i="7" s="1"/>
  <c r="D39" i="4" l="1"/>
  <c r="D27" i="4"/>
  <c r="C27" i="4"/>
  <c r="B27" i="4"/>
  <c r="D44" i="4" l="1"/>
  <c r="B44" i="4"/>
  <c r="D22" i="4" l="1"/>
  <c r="C22" i="4"/>
  <c r="B22" i="4"/>
  <c r="D51" i="4" l="1"/>
  <c r="C51" i="4"/>
  <c r="B51" i="4"/>
  <c r="B18" i="4"/>
  <c r="B52" i="4" l="1"/>
  <c r="C3" i="4" s="1"/>
  <c r="C18" i="4" s="1"/>
  <c r="C52" i="4" s="1"/>
  <c r="D3" i="4" s="1"/>
  <c r="D18" i="4" s="1"/>
  <c r="D52" i="4" s="1"/>
  <c r="B27" i="1"/>
  <c r="B18" i="1"/>
  <c r="D22" i="1"/>
  <c r="C22" i="1"/>
  <c r="B22" i="1"/>
  <c r="D27" i="1" l="1"/>
  <c r="D44" i="1"/>
  <c r="D40" i="1"/>
  <c r="C40" i="1"/>
  <c r="B40" i="1"/>
  <c r="D39" i="1"/>
  <c r="D51" i="1" l="1"/>
  <c r="C27" i="1"/>
  <c r="C51" i="1" s="1"/>
  <c r="B42" i="1" l="1"/>
  <c r="B51" i="1" s="1"/>
  <c r="B52" i="1" s="1"/>
  <c r="C3" i="1" l="1"/>
  <c r="C18" i="1" s="1"/>
  <c r="C52" i="1" s="1"/>
  <c r="D3" i="1" s="1"/>
  <c r="D18" i="1" s="1"/>
  <c r="D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Mokgadi Sono</author>
  </authors>
  <commentList>
    <comment ref="M31" authorId="0" shapeId="0" xr:uid="{F79CDB85-99F2-4E71-983F-698199109CD8}">
      <text>
        <r>
          <rPr>
            <b/>
            <sz val="9"/>
            <color indexed="81"/>
            <rFont val="Tahoma"/>
            <family val="2"/>
          </rPr>
          <t>Mokgadi Sono:</t>
        </r>
        <r>
          <rPr>
            <sz val="9"/>
            <color indexed="81"/>
            <rFont val="Tahoma"/>
            <family val="2"/>
          </rPr>
          <t xml:space="preserve">
Includes Eskom Paid in July (Exl VAT)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Mokgadi Sono</author>
  </authors>
  <commentList>
    <comment ref="P31" authorId="0" shapeId="0" xr:uid="{F459BFF6-3E66-485A-A8AE-11795BA59870}">
      <text>
        <r>
          <rPr>
            <b/>
            <sz val="9"/>
            <color indexed="81"/>
            <rFont val="Tahoma"/>
            <family val="2"/>
          </rPr>
          <t>Mokgadi Sono:</t>
        </r>
        <r>
          <rPr>
            <sz val="9"/>
            <color indexed="81"/>
            <rFont val="Tahoma"/>
            <family val="2"/>
          </rPr>
          <t xml:space="preserve">
Includes Eskom Paid in July (Exl VAT)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Mokgadi Sono</author>
  </authors>
  <commentList>
    <comment ref="P32" authorId="0" shapeId="0" xr:uid="{05BF2B05-34D2-4BB7-8F6F-CBA7C85E851E}">
      <text>
        <r>
          <rPr>
            <b/>
            <sz val="9"/>
            <color indexed="81"/>
            <rFont val="Tahoma"/>
            <family val="2"/>
          </rPr>
          <t>Mokgadi Sono:</t>
        </r>
        <r>
          <rPr>
            <sz val="9"/>
            <color indexed="81"/>
            <rFont val="Tahoma"/>
            <family val="2"/>
          </rPr>
          <t xml:space="preserve">
Includes Eskom Paid in July (Exl VAT)
</t>
        </r>
      </text>
    </comment>
  </commentList>
</comments>
</file>

<file path=xl/sharedStrings.xml><?xml version="1.0" encoding="utf-8"?>
<sst xmlns="http://schemas.openxmlformats.org/spreadsheetml/2006/main" count="350" uniqueCount="104">
  <si>
    <t xml:space="preserve">Revenue  Estimates </t>
  </si>
  <si>
    <t>Revenue - Customer Collections</t>
  </si>
  <si>
    <t xml:space="preserve">Expenditure Estimates </t>
  </si>
  <si>
    <t>Councillors Remeneration</t>
  </si>
  <si>
    <t>Internal audit and audit committee</t>
  </si>
  <si>
    <t xml:space="preserve">Department of labour </t>
  </si>
  <si>
    <t xml:space="preserve">Forecast Monthly expenditure </t>
  </si>
  <si>
    <t xml:space="preserve">Running bank balance month end </t>
  </si>
  <si>
    <t xml:space="preserve">Other income </t>
  </si>
  <si>
    <t xml:space="preserve">MIG PROJECTS </t>
  </si>
  <si>
    <t>Grants  INEP</t>
  </si>
  <si>
    <t>Grant  Equitable share</t>
  </si>
  <si>
    <t>Licencing</t>
  </si>
  <si>
    <t>Salaries</t>
  </si>
  <si>
    <t>INEP PROJECTS</t>
  </si>
  <si>
    <t>FUEL</t>
  </si>
  <si>
    <t>Photocopier Machines</t>
  </si>
  <si>
    <t>Expenditure on events</t>
  </si>
  <si>
    <t>Legal costs</t>
  </si>
  <si>
    <t>Consultants</t>
  </si>
  <si>
    <t>Travelling</t>
  </si>
  <si>
    <t>AG Audit *interim</t>
  </si>
  <si>
    <t xml:space="preserve">Forecast Monthly Income </t>
  </si>
  <si>
    <t>Investment  to Recall</t>
  </si>
  <si>
    <t>Overtime</t>
  </si>
  <si>
    <t>Ward committees +EPWP</t>
  </si>
  <si>
    <t xml:space="preserve">pension fund,SARS ,Med Aid </t>
  </si>
  <si>
    <t>Eskom -</t>
  </si>
  <si>
    <t xml:space="preserve">Loan repayment </t>
  </si>
  <si>
    <t>retention to contractors</t>
  </si>
  <si>
    <t xml:space="preserve">Telephone </t>
  </si>
  <si>
    <t xml:space="preserve">Water Tankers +Plant hire </t>
  </si>
  <si>
    <t>Other Creditors</t>
  </si>
  <si>
    <t>Grants  FMG</t>
  </si>
  <si>
    <t>SALGA Levies</t>
  </si>
  <si>
    <t>Waste Management</t>
  </si>
  <si>
    <t>limpopo Provincial Government</t>
  </si>
  <si>
    <t>Security/Speed Camera</t>
  </si>
  <si>
    <t xml:space="preserve">VAT refund </t>
  </si>
  <si>
    <t>VAT Payment</t>
  </si>
  <si>
    <t>Inventory Stores</t>
  </si>
  <si>
    <t xml:space="preserve">       Cash Flow Projections July 2019 </t>
  </si>
  <si>
    <t>July</t>
  </si>
  <si>
    <t>MIG</t>
  </si>
  <si>
    <t>INEP</t>
  </si>
  <si>
    <t>EPWP</t>
  </si>
  <si>
    <t>Equitable Share</t>
  </si>
  <si>
    <t>August</t>
  </si>
  <si>
    <t>September</t>
  </si>
  <si>
    <t> 5 973 927</t>
  </si>
  <si>
    <t> 1 094 338</t>
  </si>
  <si>
    <t>FINANCE MANAGEMENT GRANT</t>
  </si>
  <si>
    <t>Loan Received</t>
  </si>
  <si>
    <t>Investments</t>
  </si>
  <si>
    <t>Opening Balance 01 July 2019</t>
  </si>
  <si>
    <t xml:space="preserve">       Cash Flow Projections Oct 2019 </t>
  </si>
  <si>
    <t>Oct</t>
  </si>
  <si>
    <t>Nov</t>
  </si>
  <si>
    <t>Dec</t>
  </si>
  <si>
    <t>Opening Balance 01 Oct 2019</t>
  </si>
  <si>
    <t xml:space="preserve"> 437,999.99</t>
  </si>
  <si>
    <t xml:space="preserve"> 2,074,137.80</t>
  </si>
  <si>
    <t>1,602,240.50</t>
  </si>
  <si>
    <t>1,299,976.03</t>
  </si>
  <si>
    <t>Investment Recalled</t>
  </si>
  <si>
    <t>Total</t>
  </si>
  <si>
    <t>DBSA Loan Received</t>
  </si>
  <si>
    <t xml:space="preserve">IIPSA Grant </t>
  </si>
  <si>
    <t xml:space="preserve">Investments made </t>
  </si>
  <si>
    <t xml:space="preserve">DBSA PROJECTS </t>
  </si>
  <si>
    <t xml:space="preserve">Crane truck purhcase </t>
  </si>
  <si>
    <t xml:space="preserve">AG Audit </t>
  </si>
  <si>
    <t>Medical Aid Conribution</t>
  </si>
  <si>
    <t>pension fund,SARS, Third Parties</t>
  </si>
  <si>
    <t>Creditors</t>
  </si>
  <si>
    <t>Sep 2021</t>
  </si>
  <si>
    <t>Aug 2021</t>
  </si>
  <si>
    <t>Jul 2021</t>
  </si>
  <si>
    <t xml:space="preserve">Repairs and maintenance </t>
  </si>
  <si>
    <t>Oct 2021</t>
  </si>
  <si>
    <t>Nov 2021</t>
  </si>
  <si>
    <t>Dec 2021</t>
  </si>
  <si>
    <t xml:space="preserve">       Cash Flow  July 2021-June 2022</t>
  </si>
  <si>
    <t>Jan 2022</t>
  </si>
  <si>
    <t>Feb 2022</t>
  </si>
  <si>
    <t>Mar 2022</t>
  </si>
  <si>
    <t>April 2022</t>
  </si>
  <si>
    <t>May 2022</t>
  </si>
  <si>
    <t>June 2022</t>
  </si>
  <si>
    <t>Bank Bal</t>
  </si>
  <si>
    <t xml:space="preserve">TOTAL </t>
  </si>
  <si>
    <t>Opening Balance 01 July 2022</t>
  </si>
  <si>
    <t>July 2022</t>
  </si>
  <si>
    <t>August 2022</t>
  </si>
  <si>
    <t>September 2022</t>
  </si>
  <si>
    <t xml:space="preserve">       Cash Flow  July 2022-June 2023</t>
  </si>
  <si>
    <t>October 2022</t>
  </si>
  <si>
    <t>November 2022</t>
  </si>
  <si>
    <t>December 2022</t>
  </si>
  <si>
    <t>ENERGY EFFICIENCY AND DEMAND SIDE MANAGEMENT</t>
  </si>
  <si>
    <t>January 2023</t>
  </si>
  <si>
    <t>February 2023</t>
  </si>
  <si>
    <t>March 2023</t>
  </si>
  <si>
    <t>EEDSM (ENERGY EFFICIENCY DEMANDSIDE 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</si>
</sst>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33374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74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rgb="FF333333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201">
    <xf numFmtId="0" fontId="0" fillId="0" borderId="0" xfId="0"/>
    <xf numFmtId="165" fontId="0" fillId="0" borderId="0" xfId="1" applyNumberFormat="1" applyFont="1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165" fontId="0" fillId="0" borderId="5" xfId="1" applyNumberFormat="1" applyFont="1" applyFill="1" applyBorder="1"/>
    <xf numFmtId="165" fontId="3" fillId="0" borderId="5" xfId="1" applyNumberFormat="1" applyFont="1" applyFill="1" applyBorder="1" applyAlignment="1">
      <alignment vertical="center"/>
    </xf>
    <xf numFmtId="165" fontId="6" fillId="0" borderId="5" xfId="1" applyNumberFormat="1" applyFont="1" applyFill="1" applyBorder="1" applyAlignment="1">
      <alignment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right" vertical="center"/>
    </xf>
    <xf numFmtId="165" fontId="2" fillId="0" borderId="3" xfId="1" applyNumberFormat="1" applyFont="1" applyBorder="1" applyAlignment="1">
      <alignment horizontal="center" vertical="center"/>
    </xf>
    <xf numFmtId="165" fontId="0" fillId="0" borderId="0" xfId="1" applyNumberFormat="1" applyFont="1" applyFill="1"/>
    <xf numFmtId="165" fontId="3" fillId="3" borderId="5" xfId="1" applyNumberFormat="1" applyFont="1" applyFill="1" applyBorder="1" applyAlignment="1">
      <alignment vertical="center"/>
    </xf>
    <xf numFmtId="165" fontId="3" fillId="3" borderId="0" xfId="1" applyNumberFormat="1" applyFont="1" applyFill="1" applyBorder="1" applyAlignment="1">
      <alignment vertical="center"/>
    </xf>
    <xf numFmtId="165" fontId="8" fillId="3" borderId="7" xfId="1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165" fontId="0" fillId="0" borderId="5" xfId="1" applyNumberFormat="1" applyFont="1" applyFill="1" applyBorder="1" applyAlignment="1">
      <alignment horizontal="right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8" xfId="0" applyBorder="1"/>
    <xf numFmtId="165" fontId="8" fillId="0" borderId="5" xfId="1" applyNumberFormat="1" applyFont="1" applyFill="1" applyBorder="1" applyAlignment="1">
      <alignment vertical="center" wrapText="1"/>
    </xf>
    <xf numFmtId="165" fontId="4" fillId="0" borderId="5" xfId="1" applyNumberFormat="1" applyFont="1" applyFill="1" applyBorder="1" applyAlignment="1">
      <alignment vertical="center"/>
    </xf>
    <xf numFmtId="165" fontId="0" fillId="0" borderId="5" xfId="1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165" fontId="10" fillId="0" borderId="5" xfId="1" applyNumberFormat="1" applyFont="1" applyFill="1" applyBorder="1" applyAlignment="1">
      <alignment vertical="center"/>
    </xf>
    <xf numFmtId="165" fontId="0" fillId="0" borderId="5" xfId="1" applyNumberFormat="1" applyFont="1" applyBorder="1"/>
    <xf numFmtId="0" fontId="3" fillId="4" borderId="1" xfId="0" applyFont="1" applyFill="1" applyBorder="1" applyAlignment="1">
      <alignment vertical="center"/>
    </xf>
    <xf numFmtId="165" fontId="3" fillId="4" borderId="5" xfId="1" applyNumberFormat="1" applyFont="1" applyFill="1" applyBorder="1" applyAlignment="1">
      <alignment vertical="center"/>
    </xf>
    <xf numFmtId="165" fontId="0" fillId="4" borderId="5" xfId="1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/>
    </xf>
    <xf numFmtId="165" fontId="3" fillId="5" borderId="5" xfId="1" applyNumberFormat="1" applyFont="1" applyFill="1" applyBorder="1" applyAlignment="1">
      <alignment horizontal="right" vertical="center"/>
    </xf>
    <xf numFmtId="165" fontId="3" fillId="5" borderId="5" xfId="1" applyNumberFormat="1" applyFont="1" applyFill="1" applyBorder="1" applyAlignment="1">
      <alignment vertical="center"/>
    </xf>
    <xf numFmtId="165" fontId="8" fillId="5" borderId="5" xfId="1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/>
    </xf>
    <xf numFmtId="165" fontId="8" fillId="6" borderId="5" xfId="1" applyNumberFormat="1" applyFont="1" applyFill="1" applyBorder="1" applyAlignment="1">
      <alignment horizontal="right"/>
    </xf>
    <xf numFmtId="165" fontId="8" fillId="6" borderId="5" xfId="1" applyNumberFormat="1" applyFont="1" applyFill="1" applyBorder="1" applyAlignment="1">
      <alignment vertical="center"/>
    </xf>
    <xf numFmtId="165" fontId="8" fillId="6" borderId="5" xfId="1" applyNumberFormat="1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/>
    </xf>
    <xf numFmtId="165" fontId="7" fillId="7" borderId="5" xfId="1" applyNumberFormat="1" applyFont="1" applyFill="1" applyBorder="1" applyAlignment="1">
      <alignment horizontal="right" vertical="center"/>
    </xf>
    <xf numFmtId="165" fontId="8" fillId="7" borderId="5" xfId="1" applyNumberFormat="1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/>
    </xf>
    <xf numFmtId="165" fontId="7" fillId="7" borderId="5" xfId="1" applyNumberFormat="1" applyFont="1" applyFill="1" applyBorder="1" applyAlignment="1">
      <alignment vertical="center"/>
    </xf>
    <xf numFmtId="165" fontId="11" fillId="0" borderId="5" xfId="1" applyNumberFormat="1" applyFont="1" applyFill="1" applyBorder="1" applyAlignment="1">
      <alignment vertical="center"/>
    </xf>
    <xf numFmtId="165" fontId="11" fillId="0" borderId="5" xfId="1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0" xfId="0" applyFont="1"/>
    <xf numFmtId="165" fontId="11" fillId="0" borderId="5" xfId="1" applyNumberFormat="1" applyFont="1" applyFill="1" applyBorder="1" applyAlignment="1">
      <alignment horizontal="right" vertical="center"/>
    </xf>
    <xf numFmtId="0" fontId="11" fillId="0" borderId="8" xfId="0" applyFont="1" applyBorder="1"/>
    <xf numFmtId="0" fontId="12" fillId="0" borderId="5" xfId="0" applyFont="1" applyBorder="1" applyAlignment="1">
      <alignment horizontal="right" vertical="center"/>
    </xf>
    <xf numFmtId="165" fontId="12" fillId="0" borderId="5" xfId="1" applyNumberFormat="1" applyFont="1" applyFill="1" applyBorder="1" applyAlignment="1">
      <alignment vertical="center"/>
    </xf>
    <xf numFmtId="165" fontId="11" fillId="0" borderId="5" xfId="1" applyNumberFormat="1" applyFont="1" applyFill="1" applyBorder="1"/>
    <xf numFmtId="0" fontId="7" fillId="7" borderId="8" xfId="0" applyFont="1" applyFill="1" applyBorder="1" applyAlignment="1">
      <alignment vertical="center"/>
    </xf>
    <xf numFmtId="165" fontId="7" fillId="7" borderId="5" xfId="1" applyNumberFormat="1" applyFont="1" applyFill="1" applyBorder="1" applyAlignment="1">
      <alignment vertical="center" wrapText="1"/>
    </xf>
    <xf numFmtId="0" fontId="6" fillId="0" borderId="0" xfId="0" applyFont="1"/>
    <xf numFmtId="0" fontId="7" fillId="4" borderId="1" xfId="0" applyFont="1" applyFill="1" applyBorder="1" applyAlignment="1">
      <alignment vertical="center"/>
    </xf>
    <xf numFmtId="165" fontId="7" fillId="4" borderId="5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/>
    </xf>
    <xf numFmtId="165" fontId="7" fillId="6" borderId="5" xfId="1" applyNumberFormat="1" applyFont="1" applyFill="1" applyBorder="1" applyAlignment="1">
      <alignment horizontal="right"/>
    </xf>
    <xf numFmtId="165" fontId="7" fillId="6" borderId="5" xfId="1" applyNumberFormat="1" applyFont="1" applyFill="1" applyBorder="1" applyAlignment="1">
      <alignment vertical="center"/>
    </xf>
    <xf numFmtId="165" fontId="7" fillId="6" borderId="5" xfId="1" applyNumberFormat="1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/>
    </xf>
    <xf numFmtId="165" fontId="7" fillId="5" borderId="5" xfId="1" applyNumberFormat="1" applyFont="1" applyFill="1" applyBorder="1" applyAlignment="1">
      <alignment horizontal="right" vertical="center"/>
    </xf>
    <xf numFmtId="165" fontId="7" fillId="5" borderId="5" xfId="1" applyNumberFormat="1" applyFont="1" applyFill="1" applyBorder="1" applyAlignment="1">
      <alignment vertical="center"/>
    </xf>
    <xf numFmtId="165" fontId="7" fillId="5" borderId="5" xfId="1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7" fillId="0" borderId="8" xfId="0" applyFont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165" fontId="0" fillId="0" borderId="10" xfId="1" applyNumberFormat="1" applyFont="1" applyBorder="1"/>
    <xf numFmtId="165" fontId="0" fillId="0" borderId="10" xfId="1" applyNumberFormat="1" applyFont="1" applyFill="1" applyBorder="1"/>
    <xf numFmtId="165" fontId="7" fillId="7" borderId="11" xfId="1" applyNumberFormat="1" applyFont="1" applyFill="1" applyBorder="1" applyAlignment="1">
      <alignment vertical="center"/>
    </xf>
    <xf numFmtId="165" fontId="7" fillId="7" borderId="12" xfId="1" applyNumberFormat="1" applyFont="1" applyFill="1" applyBorder="1" applyAlignment="1">
      <alignment vertical="center"/>
    </xf>
    <xf numFmtId="165" fontId="7" fillId="7" borderId="13" xfId="1" applyNumberFormat="1" applyFont="1" applyFill="1" applyBorder="1" applyAlignment="1">
      <alignment vertical="center"/>
    </xf>
    <xf numFmtId="165" fontId="6" fillId="0" borderId="5" xfId="1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vertical="center" wrapText="1"/>
    </xf>
    <xf numFmtId="165" fontId="6" fillId="0" borderId="5" xfId="1" applyNumberFormat="1" applyFont="1" applyFill="1" applyBorder="1" applyAlignment="1">
      <alignment horizontal="right" vertical="center"/>
    </xf>
    <xf numFmtId="164" fontId="6" fillId="0" borderId="0" xfId="1" applyFont="1"/>
    <xf numFmtId="165" fontId="7" fillId="0" borderId="5" xfId="1" applyNumberFormat="1" applyFont="1" applyFill="1" applyBorder="1" applyAlignment="1">
      <alignment vertical="center"/>
    </xf>
    <xf numFmtId="4" fontId="6" fillId="0" borderId="0" xfId="0" applyNumberFormat="1" applyFont="1"/>
    <xf numFmtId="4" fontId="11" fillId="0" borderId="0" xfId="0" applyNumberFormat="1" applyFont="1"/>
    <xf numFmtId="165" fontId="6" fillId="0" borderId="5" xfId="1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165" fontId="3" fillId="5" borderId="1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10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165" fontId="3" fillId="5" borderId="15" xfId="1" applyNumberFormat="1" applyFont="1" applyFill="1" applyBorder="1" applyAlignment="1">
      <alignment horizontal="right" vertical="center"/>
    </xf>
    <xf numFmtId="165" fontId="4" fillId="0" borderId="16" xfId="1" applyNumberFormat="1" applyFont="1" applyFill="1" applyBorder="1" applyAlignment="1">
      <alignment horizontal="right" vertical="center"/>
    </xf>
    <xf numFmtId="165" fontId="7" fillId="7" borderId="16" xfId="1" applyNumberFormat="1" applyFont="1" applyFill="1" applyBorder="1" applyAlignment="1">
      <alignment horizontal="right" vertical="center"/>
    </xf>
    <xf numFmtId="165" fontId="0" fillId="0" borderId="16" xfId="1" applyNumberFormat="1" applyFont="1" applyFill="1" applyBorder="1"/>
    <xf numFmtId="165" fontId="3" fillId="4" borderId="16" xfId="1" applyNumberFormat="1" applyFont="1" applyFill="1" applyBorder="1" applyAlignment="1">
      <alignment vertical="center"/>
    </xf>
    <xf numFmtId="165" fontId="3" fillId="0" borderId="16" xfId="1" applyNumberFormat="1" applyFont="1" applyFill="1" applyBorder="1" applyAlignment="1">
      <alignment vertical="center"/>
    </xf>
    <xf numFmtId="165" fontId="6" fillId="0" borderId="16" xfId="1" applyNumberFormat="1" applyFont="1" applyFill="1" applyBorder="1" applyAlignment="1">
      <alignment vertical="center"/>
    </xf>
    <xf numFmtId="165" fontId="0" fillId="0" borderId="16" xfId="1" applyNumberFormat="1" applyFont="1" applyFill="1" applyBorder="1" applyAlignment="1">
      <alignment horizontal="right"/>
    </xf>
    <xf numFmtId="165" fontId="6" fillId="0" borderId="17" xfId="1" applyNumberFormat="1" applyFont="1" applyFill="1" applyBorder="1" applyAlignment="1">
      <alignment vertical="center"/>
    </xf>
    <xf numFmtId="165" fontId="7" fillId="7" borderId="18" xfId="1" applyNumberFormat="1" applyFont="1" applyFill="1" applyBorder="1" applyAlignment="1">
      <alignment vertical="center"/>
    </xf>
    <xf numFmtId="165" fontId="7" fillId="7" borderId="19" xfId="1" applyNumberFormat="1" applyFont="1" applyFill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165" fontId="3" fillId="4" borderId="5" xfId="1" quotePrefix="1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7" borderId="5" xfId="0" applyNumberFormat="1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165" fontId="0" fillId="0" borderId="5" xfId="0" applyNumberFormat="1" applyBorder="1"/>
    <xf numFmtId="165" fontId="0" fillId="0" borderId="20" xfId="1" applyNumberFormat="1" applyFont="1" applyBorder="1"/>
    <xf numFmtId="165" fontId="8" fillId="0" borderId="5" xfId="1" applyNumberFormat="1" applyFont="1" applyFill="1" applyBorder="1"/>
    <xf numFmtId="165" fontId="8" fillId="0" borderId="0" xfId="1" applyNumberFormat="1" applyFont="1"/>
    <xf numFmtId="0" fontId="0" fillId="0" borderId="5" xfId="0" applyBorder="1"/>
    <xf numFmtId="165" fontId="0" fillId="0" borderId="0" xfId="0" applyNumberFormat="1"/>
    <xf numFmtId="0" fontId="3" fillId="0" borderId="14" xfId="0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0" fillId="0" borderId="0" xfId="1" applyNumberFormat="1" applyFont="1" applyFill="1" applyBorder="1"/>
    <xf numFmtId="165" fontId="8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5" fontId="0" fillId="0" borderId="22" xfId="0" applyNumberFormat="1" applyBorder="1"/>
    <xf numFmtId="165" fontId="15" fillId="0" borderId="5" xfId="1" applyNumberFormat="1" applyFont="1" applyBorder="1" applyAlignment="1">
      <alignment horizontal="right" wrapText="1"/>
    </xf>
    <xf numFmtId="165" fontId="3" fillId="0" borderId="21" xfId="0" applyNumberFormat="1" applyFont="1" applyBorder="1" applyAlignment="1">
      <alignment vertical="center"/>
    </xf>
    <xf numFmtId="165" fontId="3" fillId="7" borderId="21" xfId="0" applyNumberFormat="1" applyFont="1" applyFill="1" applyBorder="1" applyAlignment="1">
      <alignment vertical="center"/>
    </xf>
    <xf numFmtId="165" fontId="4" fillId="9" borderId="5" xfId="0" applyNumberFormat="1" applyFont="1" applyFill="1" applyBorder="1" applyAlignment="1">
      <alignment vertical="center"/>
    </xf>
    <xf numFmtId="166" fontId="0" fillId="0" borderId="0" xfId="2" applyNumberFormat="1" applyFont="1"/>
    <xf numFmtId="165" fontId="15" fillId="0" borderId="23" xfId="1" applyNumberFormat="1" applyFont="1" applyFill="1" applyBorder="1" applyAlignment="1">
      <alignment horizontal="right" wrapText="1"/>
    </xf>
    <xf numFmtId="0" fontId="17" fillId="0" borderId="14" xfId="0" applyFont="1" applyBorder="1" applyAlignment="1">
      <alignment horizontal="center" vertical="center"/>
    </xf>
    <xf numFmtId="165" fontId="17" fillId="0" borderId="6" xfId="1" applyNumberFormat="1" applyFont="1" applyBorder="1" applyAlignment="1">
      <alignment horizontal="center" vertical="center"/>
    </xf>
    <xf numFmtId="0" fontId="18" fillId="0" borderId="0" xfId="0" applyFont="1"/>
    <xf numFmtId="0" fontId="17" fillId="8" borderId="5" xfId="0" applyFont="1" applyFill="1" applyBorder="1" applyAlignment="1">
      <alignment vertical="center"/>
    </xf>
    <xf numFmtId="165" fontId="17" fillId="4" borderId="5" xfId="1" quotePrefix="1" applyNumberFormat="1" applyFont="1" applyFill="1" applyBorder="1" applyAlignment="1">
      <alignment vertical="center"/>
    </xf>
    <xf numFmtId="165" fontId="17" fillId="4" borderId="5" xfId="1" applyNumberFormat="1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horizontal="right" vertical="center"/>
    </xf>
    <xf numFmtId="165" fontId="17" fillId="5" borderId="10" xfId="1" applyNumberFormat="1" applyFont="1" applyFill="1" applyBorder="1" applyAlignment="1">
      <alignment horizontal="right" vertical="center"/>
    </xf>
    <xf numFmtId="165" fontId="17" fillId="5" borderId="1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vertical="center"/>
    </xf>
    <xf numFmtId="165" fontId="19" fillId="0" borderId="5" xfId="1" applyNumberFormat="1" applyFont="1" applyFill="1" applyBorder="1" applyAlignment="1">
      <alignment vertical="center"/>
    </xf>
    <xf numFmtId="165" fontId="19" fillId="0" borderId="5" xfId="1" applyNumberFormat="1" applyFont="1" applyFill="1" applyBorder="1" applyAlignment="1">
      <alignment horizontal="right" vertical="center"/>
    </xf>
    <xf numFmtId="165" fontId="19" fillId="0" borderId="16" xfId="1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vertical="center"/>
    </xf>
    <xf numFmtId="0" fontId="18" fillId="0" borderId="5" xfId="0" applyFont="1" applyBorder="1"/>
    <xf numFmtId="165" fontId="18" fillId="0" borderId="5" xfId="1" applyNumberFormat="1" applyFont="1" applyFill="1" applyBorder="1"/>
    <xf numFmtId="0" fontId="21" fillId="7" borderId="5" xfId="0" applyFont="1" applyFill="1" applyBorder="1" applyAlignment="1">
      <alignment vertical="center"/>
    </xf>
    <xf numFmtId="165" fontId="22" fillId="7" borderId="5" xfId="1" applyNumberFormat="1" applyFont="1" applyFill="1" applyBorder="1" applyAlignment="1">
      <alignment horizontal="right" vertical="center"/>
    </xf>
    <xf numFmtId="165" fontId="22" fillId="7" borderId="16" xfId="1" applyNumberFormat="1" applyFont="1" applyFill="1" applyBorder="1" applyAlignment="1">
      <alignment horizontal="right" vertical="center"/>
    </xf>
    <xf numFmtId="165" fontId="23" fillId="0" borderId="5" xfId="1" applyNumberFormat="1" applyFont="1" applyFill="1" applyBorder="1"/>
    <xf numFmtId="165" fontId="18" fillId="0" borderId="16" xfId="1" applyNumberFormat="1" applyFont="1" applyFill="1" applyBorder="1"/>
    <xf numFmtId="165" fontId="17" fillId="4" borderId="5" xfId="0" applyNumberFormat="1" applyFont="1" applyFill="1" applyBorder="1" applyAlignment="1">
      <alignment vertical="center"/>
    </xf>
    <xf numFmtId="165" fontId="17" fillId="4" borderId="16" xfId="1" applyNumberFormat="1" applyFont="1" applyFill="1" applyBorder="1" applyAlignment="1">
      <alignment vertical="center"/>
    </xf>
    <xf numFmtId="165" fontId="19" fillId="0" borderId="5" xfId="0" applyNumberFormat="1" applyFont="1" applyBorder="1" applyAlignment="1">
      <alignment vertical="center"/>
    </xf>
    <xf numFmtId="165" fontId="19" fillId="0" borderId="22" xfId="1" applyNumberFormat="1" applyFont="1" applyFill="1" applyBorder="1" applyAlignment="1">
      <alignment vertical="center"/>
    </xf>
    <xf numFmtId="165" fontId="17" fillId="0" borderId="5" xfId="1" applyNumberFormat="1" applyFont="1" applyFill="1" applyBorder="1" applyAlignment="1">
      <alignment vertical="center"/>
    </xf>
    <xf numFmtId="165" fontId="17" fillId="0" borderId="16" xfId="1" applyNumberFormat="1" applyFont="1" applyFill="1" applyBorder="1" applyAlignment="1">
      <alignment vertical="center"/>
    </xf>
    <xf numFmtId="165" fontId="18" fillId="0" borderId="22" xfId="0" applyNumberFormat="1" applyFont="1" applyBorder="1"/>
    <xf numFmtId="166" fontId="18" fillId="0" borderId="0" xfId="2" applyNumberFormat="1" applyFont="1"/>
    <xf numFmtId="165" fontId="18" fillId="0" borderId="0" xfId="0" applyNumberFormat="1" applyFont="1"/>
    <xf numFmtId="165" fontId="24" fillId="0" borderId="5" xfId="1" applyNumberFormat="1" applyFont="1" applyFill="1" applyBorder="1" applyAlignment="1">
      <alignment vertical="center"/>
    </xf>
    <xf numFmtId="165" fontId="24" fillId="0" borderId="16" xfId="1" applyNumberFormat="1" applyFont="1" applyFill="1" applyBorder="1" applyAlignment="1">
      <alignment vertical="center"/>
    </xf>
    <xf numFmtId="165" fontId="25" fillId="0" borderId="5" xfId="1" applyNumberFormat="1" applyFont="1" applyBorder="1" applyAlignment="1">
      <alignment horizontal="right" wrapText="1"/>
    </xf>
    <xf numFmtId="165" fontId="19" fillId="9" borderId="5" xfId="0" applyNumberFormat="1" applyFont="1" applyFill="1" applyBorder="1" applyAlignment="1">
      <alignment vertical="center"/>
    </xf>
    <xf numFmtId="165" fontId="18" fillId="0" borderId="5" xfId="0" applyNumberFormat="1" applyFont="1" applyBorder="1"/>
    <xf numFmtId="165" fontId="18" fillId="0" borderId="20" xfId="1" applyNumberFormat="1" applyFont="1" applyBorder="1"/>
    <xf numFmtId="165" fontId="19" fillId="0" borderId="0" xfId="0" applyNumberFormat="1" applyFont="1" applyAlignment="1">
      <alignment vertical="center"/>
    </xf>
    <xf numFmtId="165" fontId="18" fillId="0" borderId="5" xfId="1" applyNumberFormat="1" applyFont="1" applyFill="1" applyBorder="1" applyAlignment="1">
      <alignment horizontal="right"/>
    </xf>
    <xf numFmtId="165" fontId="18" fillId="0" borderId="16" xfId="1" applyNumberFormat="1" applyFont="1" applyFill="1" applyBorder="1" applyAlignment="1">
      <alignment horizontal="right"/>
    </xf>
    <xf numFmtId="165" fontId="24" fillId="0" borderId="9" xfId="1" applyNumberFormat="1" applyFont="1" applyFill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165" fontId="18" fillId="0" borderId="5" xfId="1" applyNumberFormat="1" applyFont="1" applyBorder="1"/>
    <xf numFmtId="165" fontId="24" fillId="0" borderId="17" xfId="1" applyNumberFormat="1" applyFont="1" applyFill="1" applyBorder="1" applyAlignment="1">
      <alignment vertical="center"/>
    </xf>
    <xf numFmtId="165" fontId="24" fillId="0" borderId="10" xfId="1" applyNumberFormat="1" applyFont="1" applyFill="1" applyBorder="1" applyAlignment="1">
      <alignment vertical="center"/>
    </xf>
    <xf numFmtId="165" fontId="25" fillId="0" borderId="23" xfId="1" applyNumberFormat="1" applyFont="1" applyFill="1" applyBorder="1" applyAlignment="1">
      <alignment horizontal="right" wrapText="1"/>
    </xf>
    <xf numFmtId="165" fontId="17" fillId="0" borderId="5" xfId="0" applyNumberFormat="1" applyFont="1" applyBorder="1" applyAlignment="1">
      <alignment vertical="center"/>
    </xf>
    <xf numFmtId="165" fontId="17" fillId="0" borderId="21" xfId="0" applyNumberFormat="1" applyFont="1" applyBorder="1" applyAlignment="1">
      <alignment vertical="center"/>
    </xf>
    <xf numFmtId="165" fontId="17" fillId="7" borderId="5" xfId="0" applyNumberFormat="1" applyFont="1" applyFill="1" applyBorder="1" applyAlignment="1">
      <alignment vertical="center"/>
    </xf>
    <xf numFmtId="165" fontId="17" fillId="7" borderId="21" xfId="0" applyNumberFormat="1" applyFont="1" applyFill="1" applyBorder="1" applyAlignment="1">
      <alignment vertical="center"/>
    </xf>
    <xf numFmtId="165" fontId="22" fillId="7" borderId="18" xfId="1" applyNumberFormat="1" applyFont="1" applyFill="1" applyBorder="1" applyAlignment="1">
      <alignment vertical="center"/>
    </xf>
    <xf numFmtId="165" fontId="22" fillId="7" borderId="19" xfId="1" applyNumberFormat="1" applyFont="1" applyFill="1" applyBorder="1" applyAlignment="1">
      <alignment vertical="center"/>
    </xf>
    <xf numFmtId="165" fontId="18" fillId="0" borderId="0" xfId="1" applyNumberFormat="1" applyFont="1"/>
    <xf numFmtId="165" fontId="23" fillId="0" borderId="0" xfId="1" applyNumberFormat="1" applyFont="1"/>
    <xf numFmtId="165" fontId="18" fillId="0" borderId="0" xfId="1" applyNumberFormat="1" applyFont="1" applyFill="1" applyBorder="1"/>
    <xf numFmtId="165" fontId="23" fillId="0" borderId="0" xfId="1" applyNumberFormat="1" applyFont="1" applyFill="1" applyBorder="1"/>
    <xf numFmtId="165" fontId="17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horizontal="right" vertical="center"/>
    </xf>
    <xf numFmtId="165" fontId="25" fillId="0" borderId="5" xfId="1" applyNumberFormat="1" applyFont="1" applyFill="1" applyBorder="1" applyAlignment="1">
      <alignment horizontal="right" wrapText="1"/>
    </xf>
    <xf numFmtId="165" fontId="26" fillId="8" borderId="5" xfId="1" applyNumberFormat="1" applyFont="1" applyFill="1" applyBorder="1"/>
    <xf numFmtId="165" fontId="19" fillId="0" borderId="5" xfId="1" applyNumberFormat="1" applyFont="1" applyBorder="1" applyAlignment="1">
      <alignment vertical="center"/>
    </xf>
    <xf numFmtId="165" fontId="26" fillId="8" borderId="5" xfId="1" quotePrefix="1" applyNumberFormat="1" applyFont="1" applyFill="1" applyBorder="1"/>
    <xf numFmtId="165" fontId="23" fillId="0" borderId="5" xfId="1" applyNumberFormat="1" applyFont="1" applyBorder="1"/>
    <xf numFmtId="165" fontId="18" fillId="0" borderId="10" xfId="1" applyNumberFormat="1" applyFont="1" applyBorder="1"/>
    <xf numFmtId="165" fontId="23" fillId="0" borderId="24" xfId="1" applyNumberFormat="1" applyFont="1" applyBorder="1"/>
    <xf numFmtId="165" fontId="19" fillId="4" borderId="5" xfId="0" applyNumberFormat="1" applyFont="1" applyFill="1" applyBorder="1" applyAlignment="1">
      <alignment vertical="center"/>
    </xf>
    <xf numFmtId="165" fontId="18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right" vertical="center"/>
    </xf>
    <xf numFmtId="165" fontId="18" fillId="4" borderId="5" xfId="1" applyNumberFormat="1" applyFont="1" applyFill="1" applyBorder="1"/>
    <xf numFmtId="4" fontId="27" fillId="0" borderId="0" xfId="0" applyNumberFormat="1" applyFont="1"/>
    <xf numFmtId="165" fontId="19" fillId="0" borderId="21" xfId="1" applyNumberFormat="1" applyFont="1" applyFill="1" applyBorder="1" applyAlignment="1">
      <alignment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view="pageBreakPreview" zoomScale="90" zoomScaleSheetLayoutView="90" workbookViewId="0">
      <selection activeCell="C13" sqref="C13"/>
    </sheetView>
  </sheetViews>
  <sheetFormatPr defaultRowHeight="14.4" x14ac:dyDescent="0.3"/>
  <cols>
    <col min="1" max="1" width="50.109375" customWidth="1"/>
    <col min="2" max="3" width="19.5546875" style="1" customWidth="1"/>
    <col min="4" max="4" width="20.88671875" style="11" customWidth="1"/>
    <col min="5" max="5" width="21.5546875" customWidth="1"/>
    <col min="6" max="6" width="9.109375"/>
    <col min="7" max="7" width="9.109375" customWidth="1"/>
    <col min="8" max="14" width="9.109375"/>
  </cols>
  <sheetData>
    <row r="1" spans="1:4" ht="29.4" thickBot="1" x14ac:dyDescent="0.35">
      <c r="A1" s="3" t="s">
        <v>41</v>
      </c>
      <c r="B1" s="7"/>
      <c r="C1" s="8"/>
      <c r="D1" s="10"/>
    </row>
    <row r="2" spans="1:4" ht="36" customHeight="1" thickBot="1" x14ac:dyDescent="0.35">
      <c r="A2" s="15" t="s">
        <v>0</v>
      </c>
      <c r="B2" s="13" t="s">
        <v>42</v>
      </c>
      <c r="C2" s="12" t="s">
        <v>47</v>
      </c>
      <c r="D2" s="14" t="s">
        <v>48</v>
      </c>
    </row>
    <row r="3" spans="1:4" ht="15" thickBot="1" x14ac:dyDescent="0.35">
      <c r="A3" s="30" t="s">
        <v>54</v>
      </c>
      <c r="B3" s="31">
        <v>42278949.719999999</v>
      </c>
      <c r="C3" s="32">
        <f>B52</f>
        <v>87347447.823499978</v>
      </c>
      <c r="D3" s="33">
        <f>C52</f>
        <v>65814108.469999999</v>
      </c>
    </row>
    <row r="4" spans="1:4" ht="15" hidden="1" thickBot="1" x14ac:dyDescent="0.35">
      <c r="A4" s="18" t="s">
        <v>11</v>
      </c>
      <c r="B4" s="9"/>
      <c r="C4" s="22"/>
      <c r="D4" s="23"/>
    </row>
    <row r="5" spans="1:4" ht="15" hidden="1" thickBot="1" x14ac:dyDescent="0.35">
      <c r="A5" s="18" t="s">
        <v>10</v>
      </c>
      <c r="B5" s="9"/>
      <c r="C5" s="22"/>
      <c r="D5" s="23"/>
    </row>
    <row r="6" spans="1:4" ht="15" hidden="1" thickBot="1" x14ac:dyDescent="0.35">
      <c r="A6" s="18" t="s">
        <v>33</v>
      </c>
      <c r="B6" s="9"/>
      <c r="C6" s="22"/>
      <c r="D6" s="23"/>
    </row>
    <row r="7" spans="1:4" ht="15" thickBot="1" x14ac:dyDescent="0.35">
      <c r="A7" s="18" t="s">
        <v>23</v>
      </c>
      <c r="B7" s="9">
        <v>0</v>
      </c>
      <c r="C7" s="22">
        <v>20000000</v>
      </c>
      <c r="D7" s="23">
        <v>30000000</v>
      </c>
    </row>
    <row r="8" spans="1:4" ht="15" thickBot="1" x14ac:dyDescent="0.35">
      <c r="A8" s="34" t="s">
        <v>1</v>
      </c>
      <c r="B8" s="35">
        <v>55577549.25</v>
      </c>
      <c r="C8" s="36">
        <v>58782897.359999999</v>
      </c>
      <c r="D8" s="37">
        <v>69843763.299999997</v>
      </c>
    </row>
    <row r="9" spans="1:4" ht="15" thickBot="1" x14ac:dyDescent="0.35">
      <c r="A9" s="18" t="s">
        <v>46</v>
      </c>
      <c r="B9" s="9">
        <v>159872000</v>
      </c>
      <c r="C9" s="22">
        <v>0</v>
      </c>
      <c r="D9" s="23">
        <v>0</v>
      </c>
    </row>
    <row r="10" spans="1:4" ht="15" thickBot="1" x14ac:dyDescent="0.35">
      <c r="A10" s="18" t="s">
        <v>43</v>
      </c>
      <c r="B10" s="9">
        <v>31236000</v>
      </c>
      <c r="C10" s="22">
        <v>0</v>
      </c>
      <c r="D10" s="23">
        <v>0</v>
      </c>
    </row>
    <row r="11" spans="1:4" ht="15" thickBot="1" x14ac:dyDescent="0.35">
      <c r="A11" s="18" t="s">
        <v>44</v>
      </c>
      <c r="B11" s="9">
        <v>4000000</v>
      </c>
      <c r="C11" s="22">
        <v>0</v>
      </c>
      <c r="D11" s="23">
        <v>0</v>
      </c>
    </row>
    <row r="12" spans="1:4" ht="15" thickBot="1" x14ac:dyDescent="0.35">
      <c r="A12" s="18" t="s">
        <v>51</v>
      </c>
      <c r="B12" s="9">
        <v>0</v>
      </c>
      <c r="C12" s="22">
        <v>2145000</v>
      </c>
      <c r="D12" s="23">
        <v>0</v>
      </c>
    </row>
    <row r="13" spans="1:4" ht="15" thickBot="1" x14ac:dyDescent="0.35">
      <c r="A13" s="18" t="s">
        <v>45</v>
      </c>
      <c r="B13" s="9">
        <v>0</v>
      </c>
      <c r="C13" s="22">
        <v>1438000</v>
      </c>
      <c r="D13" s="23">
        <v>0</v>
      </c>
    </row>
    <row r="14" spans="1:4" ht="15" thickBot="1" x14ac:dyDescent="0.35">
      <c r="A14" s="18" t="s">
        <v>52</v>
      </c>
      <c r="B14" s="9">
        <v>0</v>
      </c>
      <c r="C14" s="22">
        <v>19947068.489999998</v>
      </c>
      <c r="D14" s="23">
        <v>0</v>
      </c>
    </row>
    <row r="15" spans="1:4" ht="15" thickBot="1" x14ac:dyDescent="0.35">
      <c r="A15" s="19" t="s">
        <v>38</v>
      </c>
      <c r="B15" s="9">
        <v>0</v>
      </c>
      <c r="C15" s="22">
        <v>0</v>
      </c>
      <c r="D15" s="23">
        <v>5781904</v>
      </c>
    </row>
    <row r="16" spans="1:4" ht="15" thickBot="1" x14ac:dyDescent="0.35">
      <c r="A16" s="20" t="s">
        <v>12</v>
      </c>
      <c r="B16" s="24" t="s">
        <v>49</v>
      </c>
      <c r="C16" s="25">
        <v>4443882.4000000004</v>
      </c>
      <c r="D16" s="23">
        <v>5772028.54</v>
      </c>
    </row>
    <row r="17" spans="1:4" ht="15" thickBot="1" x14ac:dyDescent="0.35">
      <c r="A17" s="20" t="s">
        <v>8</v>
      </c>
      <c r="B17" s="24" t="s">
        <v>50</v>
      </c>
      <c r="C17" s="25">
        <v>8971480.3800000008</v>
      </c>
      <c r="D17" s="23">
        <v>4086835.77</v>
      </c>
    </row>
    <row r="18" spans="1:4" ht="15" thickBot="1" x14ac:dyDescent="0.35">
      <c r="A18" s="38" t="s">
        <v>22</v>
      </c>
      <c r="B18" s="39">
        <f>SUM(B3:B17)</f>
        <v>292964498.97000003</v>
      </c>
      <c r="C18" s="39">
        <f>SUM(C3:C17)</f>
        <v>203075776.4535</v>
      </c>
      <c r="D18" s="40">
        <f>SUM(D3:D17)</f>
        <v>181298640.07999998</v>
      </c>
    </row>
    <row r="19" spans="1:4" ht="15" thickBot="1" x14ac:dyDescent="0.35">
      <c r="A19" s="20"/>
      <c r="B19" s="4"/>
      <c r="C19" s="4"/>
      <c r="D19" s="23"/>
    </row>
    <row r="20" spans="1:4" ht="15" thickBot="1" x14ac:dyDescent="0.35">
      <c r="A20" s="27" t="s">
        <v>2</v>
      </c>
      <c r="B20" s="28"/>
      <c r="C20" s="28"/>
      <c r="D20" s="29"/>
    </row>
    <row r="21" spans="1:4" ht="15" thickBot="1" x14ac:dyDescent="0.35">
      <c r="A21" s="17" t="s">
        <v>53</v>
      </c>
      <c r="B21" s="5">
        <v>65000000</v>
      </c>
      <c r="C21" s="5">
        <v>0</v>
      </c>
      <c r="D21" s="23">
        <v>0</v>
      </c>
    </row>
    <row r="22" spans="1:4" ht="15" thickBot="1" x14ac:dyDescent="0.35">
      <c r="A22" s="18" t="s">
        <v>13</v>
      </c>
      <c r="B22" s="6">
        <f>18990038.53-B24</f>
        <v>16153286.540000001</v>
      </c>
      <c r="C22" s="6">
        <f>17476953.03-C24</f>
        <v>14876614.490000002</v>
      </c>
      <c r="D22" s="23">
        <f>19605321.53-D24</f>
        <v>17186617.91</v>
      </c>
    </row>
    <row r="23" spans="1:4" ht="15" thickBot="1" x14ac:dyDescent="0.35">
      <c r="A23" s="18" t="s">
        <v>25</v>
      </c>
      <c r="B23" s="6">
        <v>332750</v>
      </c>
      <c r="C23" s="6">
        <v>335000</v>
      </c>
      <c r="D23" s="23">
        <v>835500</v>
      </c>
    </row>
    <row r="24" spans="1:4" ht="15" thickBot="1" x14ac:dyDescent="0.35">
      <c r="A24" s="18" t="s">
        <v>24</v>
      </c>
      <c r="B24" s="6">
        <v>2836751.99</v>
      </c>
      <c r="C24" s="6">
        <v>2600338.54</v>
      </c>
      <c r="D24" s="23">
        <v>2418703.62</v>
      </c>
    </row>
    <row r="25" spans="1:4" ht="15" thickBot="1" x14ac:dyDescent="0.35">
      <c r="A25" s="18" t="s">
        <v>3</v>
      </c>
      <c r="B25" s="6"/>
      <c r="C25" s="6"/>
      <c r="D25" s="23"/>
    </row>
    <row r="26" spans="1:4" ht="15" thickBot="1" x14ac:dyDescent="0.35">
      <c r="A26" s="18" t="s">
        <v>32</v>
      </c>
      <c r="B26" s="6"/>
      <c r="C26" s="6">
        <v>19333971</v>
      </c>
      <c r="D26" s="23">
        <v>3795633</v>
      </c>
    </row>
    <row r="27" spans="1:4" ht="15" thickBot="1" x14ac:dyDescent="0.35">
      <c r="A27" s="18" t="s">
        <v>26</v>
      </c>
      <c r="B27" s="6">
        <f>2128395.62+6720624.25+6697803.45</f>
        <v>15546823.32</v>
      </c>
      <c r="C27" s="6">
        <f>6747831.79</f>
        <v>6747831.79</v>
      </c>
      <c r="D27" s="23">
        <f>6735051.93+6235828.48+2144648.38</f>
        <v>15115528.789999999</v>
      </c>
    </row>
    <row r="28" spans="1:4" ht="15" thickBot="1" x14ac:dyDescent="0.35">
      <c r="A28" s="18" t="s">
        <v>37</v>
      </c>
      <c r="B28" s="6">
        <v>1191878.25</v>
      </c>
      <c r="C28" s="6">
        <v>1667515.58</v>
      </c>
      <c r="D28" s="23">
        <v>3211977.05</v>
      </c>
    </row>
    <row r="29" spans="1:4" ht="36.75" customHeight="1" thickBot="1" x14ac:dyDescent="0.35">
      <c r="A29" s="18" t="s">
        <v>9</v>
      </c>
      <c r="B29" s="6">
        <v>3447602.25</v>
      </c>
      <c r="C29" s="6">
        <v>25448908.91</v>
      </c>
      <c r="D29" s="21">
        <v>2108022.04</v>
      </c>
    </row>
    <row r="30" spans="1:4" ht="29.25" customHeight="1" thickBot="1" x14ac:dyDescent="0.35">
      <c r="A30" s="18" t="s">
        <v>14</v>
      </c>
      <c r="B30" s="6">
        <v>0</v>
      </c>
      <c r="C30" s="6">
        <v>0</v>
      </c>
      <c r="D30" s="21">
        <v>0</v>
      </c>
    </row>
    <row r="31" spans="1:4" ht="28.5" customHeight="1" thickBot="1" x14ac:dyDescent="0.35">
      <c r="A31" s="18" t="s">
        <v>27</v>
      </c>
      <c r="B31" s="16">
        <v>85014181</v>
      </c>
      <c r="C31" s="16">
        <v>46634942</v>
      </c>
      <c r="D31" s="21">
        <v>59476057.630000003</v>
      </c>
    </row>
    <row r="32" spans="1:4" ht="23.25" customHeight="1" thickBot="1" x14ac:dyDescent="0.35">
      <c r="A32" s="18" t="s">
        <v>15</v>
      </c>
      <c r="B32" s="6">
        <v>0</v>
      </c>
      <c r="C32" s="6">
        <v>695536</v>
      </c>
      <c r="D32" s="23">
        <v>841979</v>
      </c>
    </row>
    <row r="33" spans="1:14" ht="15" thickBot="1" x14ac:dyDescent="0.35">
      <c r="A33" s="18" t="s">
        <v>29</v>
      </c>
      <c r="B33" s="6">
        <v>41798</v>
      </c>
      <c r="C33" s="6">
        <v>4185423.32</v>
      </c>
      <c r="D33" s="23">
        <v>382813.91</v>
      </c>
    </row>
    <row r="34" spans="1:14" ht="15" thickBot="1" x14ac:dyDescent="0.35">
      <c r="A34" s="18" t="s">
        <v>16</v>
      </c>
      <c r="B34" s="6">
        <v>248099.8</v>
      </c>
      <c r="C34" s="6">
        <v>225369.17</v>
      </c>
      <c r="D34" s="23">
        <v>227408.66</v>
      </c>
    </row>
    <row r="35" spans="1:14" ht="15" thickBot="1" x14ac:dyDescent="0.35">
      <c r="A35" s="18" t="s">
        <v>18</v>
      </c>
      <c r="B35" s="6">
        <v>2759778.58</v>
      </c>
      <c r="C35" s="6">
        <v>1743312.31</v>
      </c>
      <c r="D35" s="23">
        <v>3219502.98</v>
      </c>
    </row>
    <row r="36" spans="1:14" ht="15" thickBot="1" x14ac:dyDescent="0.35">
      <c r="A36" s="18" t="s">
        <v>31</v>
      </c>
      <c r="B36" s="6">
        <v>0</v>
      </c>
      <c r="C36" s="6">
        <v>686155.39</v>
      </c>
      <c r="D36" s="23">
        <v>347169.88</v>
      </c>
    </row>
    <row r="37" spans="1:14" ht="15" thickBot="1" x14ac:dyDescent="0.35">
      <c r="A37" s="18" t="s">
        <v>19</v>
      </c>
      <c r="B37" s="6">
        <v>38500</v>
      </c>
      <c r="C37" s="6">
        <v>1571207.05</v>
      </c>
      <c r="D37" s="23">
        <v>2932160.75</v>
      </c>
    </row>
    <row r="38" spans="1:14" ht="15" thickBot="1" x14ac:dyDescent="0.35">
      <c r="A38" s="18" t="s">
        <v>30</v>
      </c>
      <c r="B38" s="6">
        <v>145300.15</v>
      </c>
      <c r="C38" s="6">
        <v>192935.5</v>
      </c>
      <c r="D38" s="23">
        <v>214029.95</v>
      </c>
    </row>
    <row r="39" spans="1:14" ht="15" thickBot="1" x14ac:dyDescent="0.35">
      <c r="A39" s="18" t="s">
        <v>20</v>
      </c>
      <c r="B39" s="6">
        <v>518005.11</v>
      </c>
      <c r="C39" s="6">
        <v>656379</v>
      </c>
      <c r="D39" s="6">
        <f>1327240-335000</f>
        <v>992240</v>
      </c>
    </row>
    <row r="40" spans="1:14" s="2" customFormat="1" ht="15" thickBot="1" x14ac:dyDescent="0.35">
      <c r="A40" s="18" t="s">
        <v>40</v>
      </c>
      <c r="B40" s="6">
        <f>3787962.31*1.15</f>
        <v>4356156.6564999996</v>
      </c>
      <c r="C40" s="6">
        <f>2395735.49*1.15</f>
        <v>2755095.8135000002</v>
      </c>
      <c r="D40" s="23">
        <f>1759911.54*1.15</f>
        <v>2023898.2709999999</v>
      </c>
      <c r="E40"/>
      <c r="F40"/>
      <c r="G40"/>
      <c r="H40"/>
      <c r="I40"/>
      <c r="J40"/>
      <c r="K40"/>
      <c r="L40"/>
      <c r="M40"/>
      <c r="N40"/>
    </row>
    <row r="41" spans="1:14" ht="15" thickBot="1" x14ac:dyDescent="0.35">
      <c r="A41" s="18" t="s">
        <v>17</v>
      </c>
      <c r="B41" s="6">
        <v>18401.689999999999</v>
      </c>
      <c r="C41" s="6">
        <v>22860</v>
      </c>
      <c r="D41" s="23">
        <v>61572</v>
      </c>
    </row>
    <row r="42" spans="1:14" ht="15" thickBot="1" x14ac:dyDescent="0.35">
      <c r="A42" s="18" t="s">
        <v>28</v>
      </c>
      <c r="B42" s="6">
        <f>319706.99+319706.99</f>
        <v>639413.98</v>
      </c>
      <c r="C42" s="6">
        <v>319651.19</v>
      </c>
      <c r="D42" s="23">
        <v>17087291.469999999</v>
      </c>
    </row>
    <row r="43" spans="1:14" ht="15" hidden="1" thickBot="1" x14ac:dyDescent="0.35">
      <c r="A43" s="18" t="s">
        <v>4</v>
      </c>
      <c r="B43" s="6"/>
      <c r="C43" s="6"/>
      <c r="D43" s="23"/>
    </row>
    <row r="44" spans="1:14" ht="15" thickBot="1" x14ac:dyDescent="0.35">
      <c r="A44" s="18" t="s">
        <v>21</v>
      </c>
      <c r="B44" s="6">
        <v>0</v>
      </c>
      <c r="C44" s="6">
        <v>0</v>
      </c>
      <c r="D44" s="23">
        <f>1610755.88*1.15</f>
        <v>1852369.2619999996</v>
      </c>
    </row>
    <row r="45" spans="1:14" ht="15" hidden="1" thickBot="1" x14ac:dyDescent="0.35">
      <c r="A45" s="18" t="s">
        <v>5</v>
      </c>
      <c r="B45" s="6"/>
      <c r="C45" s="6"/>
      <c r="D45" s="23"/>
    </row>
    <row r="46" spans="1:14" ht="15" hidden="1" thickBot="1" x14ac:dyDescent="0.35">
      <c r="A46" s="18" t="s">
        <v>34</v>
      </c>
      <c r="B46" s="6"/>
      <c r="C46" s="6"/>
      <c r="D46" s="23"/>
    </row>
    <row r="47" spans="1:14" ht="15" thickBot="1" x14ac:dyDescent="0.35">
      <c r="A47" s="18" t="s">
        <v>35</v>
      </c>
      <c r="B47" s="6">
        <v>2528263.91</v>
      </c>
      <c r="C47" s="6">
        <v>2019978.71</v>
      </c>
      <c r="D47" s="23">
        <v>2550407.15</v>
      </c>
    </row>
    <row r="48" spans="1:14" ht="15" thickBot="1" x14ac:dyDescent="0.35">
      <c r="A48" s="18" t="s">
        <v>36</v>
      </c>
      <c r="B48" s="6">
        <v>2937029.65</v>
      </c>
      <c r="C48" s="6">
        <v>4542642.22</v>
      </c>
      <c r="D48" s="23">
        <v>3461220.74</v>
      </c>
    </row>
    <row r="49" spans="1:4" ht="15" thickBot="1" x14ac:dyDescent="0.35">
      <c r="A49" s="18" t="s">
        <v>39</v>
      </c>
      <c r="B49" s="6">
        <v>1863030.27</v>
      </c>
      <c r="C49" s="6">
        <v>0</v>
      </c>
      <c r="D49" s="23">
        <v>0</v>
      </c>
    </row>
    <row r="50" spans="1:4" ht="15" thickBot="1" x14ac:dyDescent="0.35">
      <c r="A50" s="18"/>
      <c r="B50" s="6"/>
      <c r="C50" s="6"/>
      <c r="D50" s="23"/>
    </row>
    <row r="51" spans="1:4" ht="15" thickBot="1" x14ac:dyDescent="0.35">
      <c r="A51" s="17" t="s">
        <v>6</v>
      </c>
      <c r="B51" s="6">
        <f>SUM(B21:B50)</f>
        <v>205617051.14650005</v>
      </c>
      <c r="C51" s="6">
        <f>SUM(C21:C50)</f>
        <v>137261667.9835</v>
      </c>
      <c r="D51" s="6">
        <f>SUM(D22:D49)</f>
        <v>140342104.06299999</v>
      </c>
    </row>
    <row r="52" spans="1:4" ht="15" thickBot="1" x14ac:dyDescent="0.35">
      <c r="A52" s="41" t="s">
        <v>7</v>
      </c>
      <c r="B52" s="42">
        <f>B18-B51</f>
        <v>87347447.823499978</v>
      </c>
      <c r="C52" s="42">
        <f>C18-C51</f>
        <v>65814108.469999999</v>
      </c>
      <c r="D52" s="42">
        <f>D18-D51</f>
        <v>40956536.01699999</v>
      </c>
    </row>
    <row r="53" spans="1:4" x14ac:dyDescent="0.3">
      <c r="B53" s="26"/>
      <c r="C53" s="26"/>
      <c r="D53" s="4"/>
    </row>
    <row r="55" spans="1:4" x14ac:dyDescent="0.3">
      <c r="D55" s="1"/>
    </row>
    <row r="56" spans="1:4" x14ac:dyDescent="0.3">
      <c r="D56" s="1"/>
    </row>
    <row r="57" spans="1:4" x14ac:dyDescent="0.3">
      <c r="D57" s="1"/>
    </row>
    <row r="58" spans="1:4" x14ac:dyDescent="0.3">
      <c r="D58" s="1"/>
    </row>
    <row r="59" spans="1:4" x14ac:dyDescent="0.3">
      <c r="D59" s="1"/>
    </row>
  </sheetData>
  <pageMargins left="0.70866141732283472" right="0.70866141732283472" top="0.74803149606299213" bottom="0.74803149606299213" header="0.31496062992125984" footer="0.31496062992125984"/>
  <pageSetup paperSize="9" scale="5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9"/>
  <sheetViews>
    <sheetView view="pageBreakPreview" zoomScale="90" zoomScaleSheetLayoutView="90" workbookViewId="0">
      <selection activeCell="C19" sqref="C19"/>
    </sheetView>
  </sheetViews>
  <sheetFormatPr defaultRowHeight="14.4" x14ac:dyDescent="0.3"/>
  <cols>
    <col min="1" max="1" width="50.109375" customWidth="1"/>
    <col min="2" max="3" width="19.5546875" style="1" customWidth="1"/>
    <col min="4" max="4" width="20.88671875" style="11" customWidth="1"/>
    <col min="5" max="5" width="21.5546875" customWidth="1"/>
    <col min="6" max="7" width="13.109375" customWidth="1"/>
    <col min="8" max="8" width="12.44140625" customWidth="1"/>
    <col min="9" max="14" width="9.109375"/>
  </cols>
  <sheetData>
    <row r="1" spans="1:4" ht="29.4" thickBot="1" x14ac:dyDescent="0.35">
      <c r="A1" s="3" t="s">
        <v>55</v>
      </c>
      <c r="B1" s="7"/>
      <c r="C1" s="8"/>
      <c r="D1" s="10"/>
    </row>
    <row r="2" spans="1:4" ht="36" customHeight="1" thickBot="1" x14ac:dyDescent="0.35">
      <c r="A2" s="15" t="s">
        <v>0</v>
      </c>
      <c r="B2" s="13" t="s">
        <v>56</v>
      </c>
      <c r="C2" s="12" t="s">
        <v>57</v>
      </c>
      <c r="D2" s="14" t="s">
        <v>58</v>
      </c>
    </row>
    <row r="3" spans="1:4" s="54" customFormat="1" ht="15" thickBot="1" x14ac:dyDescent="0.35">
      <c r="A3" s="62" t="s">
        <v>59</v>
      </c>
      <c r="B3" s="63">
        <v>40956536</v>
      </c>
      <c r="C3" s="64">
        <f>B52</f>
        <v>20190494.86999999</v>
      </c>
      <c r="D3" s="65">
        <f>C52</f>
        <v>17597644.960000008</v>
      </c>
    </row>
    <row r="4" spans="1:4" s="46" customFormat="1" ht="15" hidden="1" thickBot="1" x14ac:dyDescent="0.35">
      <c r="A4" s="45" t="s">
        <v>11</v>
      </c>
      <c r="B4" s="47"/>
      <c r="C4" s="43"/>
      <c r="D4" s="44"/>
    </row>
    <row r="5" spans="1:4" s="46" customFormat="1" ht="15" hidden="1" thickBot="1" x14ac:dyDescent="0.35">
      <c r="A5" s="45" t="s">
        <v>10</v>
      </c>
      <c r="B5" s="47"/>
      <c r="C5" s="43"/>
      <c r="D5" s="44"/>
    </row>
    <row r="6" spans="1:4" s="46" customFormat="1" ht="15" hidden="1" thickBot="1" x14ac:dyDescent="0.35">
      <c r="A6" s="45" t="s">
        <v>33</v>
      </c>
      <c r="B6" s="47"/>
      <c r="C6" s="43"/>
      <c r="D6" s="44"/>
    </row>
    <row r="7" spans="1:4" s="54" customFormat="1" ht="15" thickBot="1" x14ac:dyDescent="0.35">
      <c r="A7" s="66" t="s">
        <v>23</v>
      </c>
      <c r="B7" s="77">
        <v>0</v>
      </c>
      <c r="C7" s="6">
        <v>20000000</v>
      </c>
      <c r="D7" s="76">
        <v>30000000</v>
      </c>
    </row>
    <row r="8" spans="1:4" s="54" customFormat="1" ht="15" thickBot="1" x14ac:dyDescent="0.35">
      <c r="A8" s="58" t="s">
        <v>1</v>
      </c>
      <c r="B8" s="59">
        <v>55577549.25</v>
      </c>
      <c r="C8" s="60">
        <v>58782897.359999999</v>
      </c>
      <c r="D8" s="61">
        <v>69843763.299999997</v>
      </c>
    </row>
    <row r="9" spans="1:4" s="54" customFormat="1" ht="15" thickBot="1" x14ac:dyDescent="0.35">
      <c r="A9" s="66" t="s">
        <v>46</v>
      </c>
      <c r="B9" s="6">
        <v>0</v>
      </c>
      <c r="C9" s="6">
        <v>0</v>
      </c>
      <c r="D9" s="76">
        <v>127898000</v>
      </c>
    </row>
    <row r="10" spans="1:4" s="54" customFormat="1" ht="15" thickBot="1" x14ac:dyDescent="0.35">
      <c r="A10" s="66" t="s">
        <v>43</v>
      </c>
      <c r="B10" s="6">
        <v>0</v>
      </c>
      <c r="C10" s="6">
        <v>0</v>
      </c>
      <c r="D10" s="76">
        <v>32482000</v>
      </c>
    </row>
    <row r="11" spans="1:4" s="54" customFormat="1" ht="15" thickBot="1" x14ac:dyDescent="0.35">
      <c r="A11" s="66" t="s">
        <v>44</v>
      </c>
      <c r="B11" s="6">
        <v>0</v>
      </c>
      <c r="C11" s="6">
        <v>8000000</v>
      </c>
      <c r="D11" s="76">
        <v>0</v>
      </c>
    </row>
    <row r="12" spans="1:4" s="54" customFormat="1" ht="15" thickBot="1" x14ac:dyDescent="0.35">
      <c r="A12" s="66" t="s">
        <v>51</v>
      </c>
      <c r="B12" s="77">
        <v>0</v>
      </c>
      <c r="C12" s="77">
        <v>0</v>
      </c>
      <c r="D12" s="76">
        <v>0</v>
      </c>
    </row>
    <row r="13" spans="1:4" s="54" customFormat="1" ht="15" thickBot="1" x14ac:dyDescent="0.35">
      <c r="A13" s="66" t="s">
        <v>45</v>
      </c>
      <c r="B13" s="77">
        <v>0</v>
      </c>
      <c r="C13" s="6">
        <v>2588000</v>
      </c>
      <c r="D13" s="76">
        <v>0</v>
      </c>
    </row>
    <row r="14" spans="1:4" s="54" customFormat="1" ht="15" thickBot="1" x14ac:dyDescent="0.35">
      <c r="A14" s="66" t="s">
        <v>52</v>
      </c>
      <c r="B14" s="77">
        <v>0</v>
      </c>
      <c r="C14" s="77">
        <v>0</v>
      </c>
      <c r="D14" s="76">
        <v>0</v>
      </c>
    </row>
    <row r="15" spans="1:4" s="54" customFormat="1" ht="15" thickBot="1" x14ac:dyDescent="0.35">
      <c r="A15" s="66" t="s">
        <v>38</v>
      </c>
      <c r="B15" s="77">
        <v>391439.08</v>
      </c>
      <c r="C15" s="6">
        <v>4938069.9000000004</v>
      </c>
      <c r="D15" s="76">
        <v>4938069.9000000004</v>
      </c>
    </row>
    <row r="16" spans="1:4" s="46" customFormat="1" ht="15" thickBot="1" x14ac:dyDescent="0.35">
      <c r="A16" s="67" t="s">
        <v>12</v>
      </c>
      <c r="B16" s="49" t="s">
        <v>49</v>
      </c>
      <c r="C16" s="50">
        <v>4443882.4000000004</v>
      </c>
      <c r="D16" s="44">
        <v>5772028.54</v>
      </c>
    </row>
    <row r="17" spans="1:5" s="46" customFormat="1" ht="15" thickBot="1" x14ac:dyDescent="0.35">
      <c r="A17" s="67" t="s">
        <v>8</v>
      </c>
      <c r="B17" s="49" t="s">
        <v>50</v>
      </c>
      <c r="C17" s="50">
        <v>8971480.3800000008</v>
      </c>
      <c r="D17" s="44">
        <v>4086835.77</v>
      </c>
    </row>
    <row r="18" spans="1:5" s="54" customFormat="1" ht="15" thickBot="1" x14ac:dyDescent="0.35">
      <c r="A18" s="52" t="s">
        <v>22</v>
      </c>
      <c r="B18" s="39">
        <f>SUM(B3:B17)</f>
        <v>96925524.329999998</v>
      </c>
      <c r="C18" s="39">
        <f>SUM(C3:C17)</f>
        <v>127914824.91</v>
      </c>
      <c r="D18" s="53">
        <f>SUM(D3:D17)</f>
        <v>292618342.46999997</v>
      </c>
    </row>
    <row r="19" spans="1:5" s="46" customFormat="1" ht="15" thickBot="1" x14ac:dyDescent="0.35">
      <c r="A19" s="48"/>
      <c r="B19" s="51"/>
      <c r="C19" s="51"/>
      <c r="D19" s="44"/>
    </row>
    <row r="20" spans="1:5" s="54" customFormat="1" ht="15" thickBot="1" x14ac:dyDescent="0.35">
      <c r="A20" s="55" t="s">
        <v>2</v>
      </c>
      <c r="B20" s="56"/>
      <c r="C20" s="56"/>
      <c r="D20" s="57"/>
    </row>
    <row r="21" spans="1:5" s="54" customFormat="1" ht="15" thickBot="1" x14ac:dyDescent="0.35">
      <c r="A21" s="68" t="s">
        <v>53</v>
      </c>
      <c r="B21" s="79">
        <v>0</v>
      </c>
      <c r="C21" s="79">
        <v>0</v>
      </c>
      <c r="D21" s="76">
        <v>0</v>
      </c>
    </row>
    <row r="22" spans="1:5" s="54" customFormat="1" ht="15" thickBot="1" x14ac:dyDescent="0.35">
      <c r="A22" s="66" t="s">
        <v>13</v>
      </c>
      <c r="B22" s="6">
        <f>16917537.83-B24</f>
        <v>14506823.829999998</v>
      </c>
      <c r="C22" s="6">
        <f>16730996.64-C24</f>
        <v>14316446.640000001</v>
      </c>
      <c r="D22" s="76">
        <f>17435771.3-D24</f>
        <v>15151617.300000001</v>
      </c>
    </row>
    <row r="23" spans="1:5" s="54" customFormat="1" ht="15" thickBot="1" x14ac:dyDescent="0.35">
      <c r="A23" s="66" t="s">
        <v>25</v>
      </c>
      <c r="B23" s="6">
        <v>500250</v>
      </c>
      <c r="C23" s="6">
        <v>501750</v>
      </c>
      <c r="D23" s="44">
        <v>504000</v>
      </c>
    </row>
    <row r="24" spans="1:5" s="46" customFormat="1" ht="15" thickBot="1" x14ac:dyDescent="0.35">
      <c r="A24" s="66" t="s">
        <v>24</v>
      </c>
      <c r="B24" s="6">
        <v>2410714</v>
      </c>
      <c r="C24" s="6">
        <v>2414550</v>
      </c>
      <c r="D24" s="76">
        <v>2284154</v>
      </c>
    </row>
    <row r="25" spans="1:5" s="46" customFormat="1" ht="15" thickBot="1" x14ac:dyDescent="0.35">
      <c r="A25" s="66" t="s">
        <v>3</v>
      </c>
      <c r="B25" s="43"/>
      <c r="C25" s="43"/>
      <c r="D25" s="44"/>
    </row>
    <row r="26" spans="1:5" s="46" customFormat="1" ht="15" thickBot="1" x14ac:dyDescent="0.35">
      <c r="A26" s="66" t="s">
        <v>32</v>
      </c>
      <c r="B26" s="43"/>
      <c r="C26" s="43">
        <v>19333971</v>
      </c>
      <c r="D26" s="44">
        <v>3795633</v>
      </c>
    </row>
    <row r="27" spans="1:5" s="54" customFormat="1" ht="15" thickBot="1" x14ac:dyDescent="0.35">
      <c r="A27" s="66" t="s">
        <v>26</v>
      </c>
      <c r="B27" s="6">
        <f>6744028.47+2142741.07+6343316.71+7166.8</f>
        <v>15237253.050000001</v>
      </c>
      <c r="C27" s="6">
        <f>6754157.29+2108340.89+6332786.35+7166.8</f>
        <v>15202451.33</v>
      </c>
      <c r="D27" s="76">
        <f>6801136.86+1967607.6+6432699.53+7166.8</f>
        <v>15208610.790000003</v>
      </c>
      <c r="E27" s="78"/>
    </row>
    <row r="28" spans="1:5" s="54" customFormat="1" ht="15" thickBot="1" x14ac:dyDescent="0.35">
      <c r="A28" s="66" t="s">
        <v>37</v>
      </c>
      <c r="B28" s="6">
        <v>1999546.93</v>
      </c>
      <c r="C28" s="6">
        <v>2510442.64</v>
      </c>
      <c r="D28" s="76">
        <v>2215783.44</v>
      </c>
    </row>
    <row r="29" spans="1:5" s="54" customFormat="1" ht="36.75" customHeight="1" thickBot="1" x14ac:dyDescent="0.35">
      <c r="A29" s="66" t="s">
        <v>9</v>
      </c>
      <c r="B29" s="6">
        <v>3638833.34</v>
      </c>
      <c r="C29" s="6">
        <v>8486801.25</v>
      </c>
      <c r="D29" s="76">
        <v>8520424.6600000001</v>
      </c>
    </row>
    <row r="30" spans="1:5" s="54" customFormat="1" ht="29.25" customHeight="1" thickBot="1" x14ac:dyDescent="0.35">
      <c r="A30" s="66" t="s">
        <v>14</v>
      </c>
      <c r="B30" s="77" t="s">
        <v>60</v>
      </c>
      <c r="C30" s="77" t="s">
        <v>61</v>
      </c>
      <c r="D30" s="82" t="s">
        <v>62</v>
      </c>
    </row>
    <row r="31" spans="1:5" s="46" customFormat="1" ht="28.5" customHeight="1" thickBot="1" x14ac:dyDescent="0.35">
      <c r="A31" s="66" t="s">
        <v>27</v>
      </c>
      <c r="B31" s="75">
        <v>22500000</v>
      </c>
      <c r="C31" s="75">
        <v>25000000</v>
      </c>
      <c r="D31" s="76">
        <v>100852664</v>
      </c>
    </row>
    <row r="32" spans="1:5" s="54" customFormat="1" ht="23.25" customHeight="1" thickBot="1" x14ac:dyDescent="0.35">
      <c r="A32" s="66" t="s">
        <v>15</v>
      </c>
      <c r="B32" s="6">
        <v>826994</v>
      </c>
      <c r="C32" s="6">
        <v>806995</v>
      </c>
      <c r="D32" s="76">
        <v>1015496</v>
      </c>
    </row>
    <row r="33" spans="1:14" s="54" customFormat="1" ht="15" thickBot="1" x14ac:dyDescent="0.35">
      <c r="A33" s="66" t="s">
        <v>29</v>
      </c>
      <c r="B33" s="79">
        <v>0</v>
      </c>
      <c r="C33" s="6">
        <v>2351905</v>
      </c>
      <c r="D33" s="76">
        <v>203582.29</v>
      </c>
    </row>
    <row r="34" spans="1:14" s="54" customFormat="1" ht="15" thickBot="1" x14ac:dyDescent="0.35">
      <c r="A34" s="66" t="s">
        <v>16</v>
      </c>
      <c r="B34" s="6">
        <v>249753.51</v>
      </c>
      <c r="C34" s="6">
        <v>229436.32</v>
      </c>
      <c r="D34" s="76">
        <v>343494.62</v>
      </c>
    </row>
    <row r="35" spans="1:14" s="54" customFormat="1" ht="15" thickBot="1" x14ac:dyDescent="0.35">
      <c r="A35" s="66" t="s">
        <v>18</v>
      </c>
      <c r="B35" s="6">
        <v>2355505.7999999998</v>
      </c>
      <c r="C35" s="6">
        <v>2288887.0099999998</v>
      </c>
      <c r="D35" s="76">
        <v>3605809.37</v>
      </c>
    </row>
    <row r="36" spans="1:14" s="46" customFormat="1" ht="15" thickBot="1" x14ac:dyDescent="0.35">
      <c r="A36" s="66" t="s">
        <v>31</v>
      </c>
      <c r="B36" s="43">
        <v>0</v>
      </c>
      <c r="C36" s="43">
        <v>686155.39</v>
      </c>
      <c r="D36" s="44">
        <v>347169.88</v>
      </c>
    </row>
    <row r="37" spans="1:14" s="46" customFormat="1" ht="15" thickBot="1" x14ac:dyDescent="0.35">
      <c r="A37" s="66" t="s">
        <v>19</v>
      </c>
      <c r="B37" s="43">
        <v>38500</v>
      </c>
      <c r="C37" s="43">
        <v>1571207.05</v>
      </c>
      <c r="D37" s="44">
        <v>2932160.75</v>
      </c>
    </row>
    <row r="38" spans="1:14" s="46" customFormat="1" ht="15" thickBot="1" x14ac:dyDescent="0.35">
      <c r="A38" s="66" t="s">
        <v>30</v>
      </c>
      <c r="B38" s="43">
        <v>145300.15</v>
      </c>
      <c r="C38" s="43">
        <v>192935.5</v>
      </c>
      <c r="D38" s="44">
        <v>214029.95</v>
      </c>
    </row>
    <row r="39" spans="1:14" s="46" customFormat="1" ht="15" thickBot="1" x14ac:dyDescent="0.35">
      <c r="A39" s="66" t="s">
        <v>20</v>
      </c>
      <c r="B39" s="43">
        <v>518005.11</v>
      </c>
      <c r="C39" s="43">
        <v>656379</v>
      </c>
      <c r="D39" s="6">
        <f>594284.48-D23</f>
        <v>90284.479999999981</v>
      </c>
    </row>
    <row r="40" spans="1:14" s="83" customFormat="1" ht="15" thickBot="1" x14ac:dyDescent="0.35">
      <c r="A40" s="66" t="s">
        <v>40</v>
      </c>
      <c r="B40" s="77">
        <v>2451043.64</v>
      </c>
      <c r="C40" s="77">
        <v>6461925.5700000003</v>
      </c>
      <c r="D40" s="82" t="s">
        <v>63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s="46" customFormat="1" ht="15" thickBot="1" x14ac:dyDescent="0.35">
      <c r="A41" s="66" t="s">
        <v>17</v>
      </c>
      <c r="B41" s="43">
        <v>18401.689999999999</v>
      </c>
      <c r="C41" s="43">
        <v>22860</v>
      </c>
      <c r="D41" s="76">
        <v>48358</v>
      </c>
    </row>
    <row r="42" spans="1:14" s="46" customFormat="1" ht="15" thickBot="1" x14ac:dyDescent="0.35">
      <c r="A42" s="66" t="s">
        <v>28</v>
      </c>
      <c r="B42" s="6">
        <v>2148211</v>
      </c>
      <c r="C42" s="6">
        <v>319707</v>
      </c>
      <c r="D42" s="76">
        <v>4300971.0199999996</v>
      </c>
    </row>
    <row r="43" spans="1:14" s="46" customFormat="1" ht="15" hidden="1" thickBot="1" x14ac:dyDescent="0.35">
      <c r="A43" s="66" t="s">
        <v>4</v>
      </c>
      <c r="B43" s="43"/>
      <c r="C43" s="43"/>
      <c r="D43" s="44"/>
    </row>
    <row r="44" spans="1:14" s="54" customFormat="1" ht="15" thickBot="1" x14ac:dyDescent="0.35">
      <c r="A44" s="66" t="s">
        <v>21</v>
      </c>
      <c r="B44" s="6">
        <f>1265+582334.83+1268769.43</f>
        <v>1852369.2599999998</v>
      </c>
      <c r="C44" s="6">
        <v>0</v>
      </c>
      <c r="D44" s="76">
        <f>1940244.79+2053368.68</f>
        <v>3993613.4699999997</v>
      </c>
      <c r="F44" s="80"/>
      <c r="G44" s="80"/>
      <c r="H44" s="80"/>
    </row>
    <row r="45" spans="1:14" s="46" customFormat="1" ht="15" hidden="1" thickBot="1" x14ac:dyDescent="0.35">
      <c r="A45" s="66" t="s">
        <v>5</v>
      </c>
      <c r="B45" s="43"/>
      <c r="C45" s="43"/>
      <c r="D45" s="44"/>
    </row>
    <row r="46" spans="1:14" s="46" customFormat="1" ht="15" hidden="1" thickBot="1" x14ac:dyDescent="0.35">
      <c r="A46" s="66" t="s">
        <v>34</v>
      </c>
      <c r="B46" s="43"/>
      <c r="C46" s="43"/>
      <c r="D46" s="44"/>
    </row>
    <row r="47" spans="1:14" s="46" customFormat="1" ht="15" thickBot="1" x14ac:dyDescent="0.35">
      <c r="A47" s="66" t="s">
        <v>35</v>
      </c>
      <c r="B47" s="6">
        <v>2272056.15</v>
      </c>
      <c r="C47" s="6">
        <v>2260770.25</v>
      </c>
      <c r="D47" s="80">
        <v>2273147.5700000003</v>
      </c>
      <c r="F47" s="81"/>
      <c r="G47" s="81"/>
      <c r="H47" s="81"/>
    </row>
    <row r="48" spans="1:14" s="54" customFormat="1" ht="15" thickBot="1" x14ac:dyDescent="0.35">
      <c r="A48" s="66" t="s">
        <v>36</v>
      </c>
      <c r="B48" s="6">
        <v>3065468</v>
      </c>
      <c r="C48" s="6">
        <v>4701604</v>
      </c>
      <c r="D48" s="76">
        <v>2914847</v>
      </c>
      <c r="F48" s="80"/>
      <c r="G48" s="80"/>
      <c r="H48" s="80"/>
    </row>
    <row r="49" spans="1:4" s="54" customFormat="1" ht="15" thickBot="1" x14ac:dyDescent="0.35">
      <c r="A49" s="66" t="s">
        <v>39</v>
      </c>
      <c r="B49" s="6">
        <v>0</v>
      </c>
      <c r="C49" s="6">
        <v>0</v>
      </c>
      <c r="D49" s="76">
        <v>104539</v>
      </c>
    </row>
    <row r="50" spans="1:4" s="46" customFormat="1" ht="15" thickBot="1" x14ac:dyDescent="0.35">
      <c r="A50" s="45"/>
      <c r="B50" s="43"/>
      <c r="C50" s="43"/>
      <c r="D50" s="44"/>
    </row>
    <row r="51" spans="1:4" ht="15" thickBot="1" x14ac:dyDescent="0.35">
      <c r="A51" s="17" t="s">
        <v>6</v>
      </c>
      <c r="B51" s="69">
        <f>SUM(B21:B50)</f>
        <v>76735029.460000008</v>
      </c>
      <c r="C51" s="69">
        <f>SUM(C21:C50)</f>
        <v>110317179.94999999</v>
      </c>
      <c r="D51" s="69">
        <f>SUM(D22:D49)</f>
        <v>170920390.58999997</v>
      </c>
    </row>
    <row r="52" spans="1:4" ht="15" thickBot="1" x14ac:dyDescent="0.35">
      <c r="A52" s="41" t="s">
        <v>7</v>
      </c>
      <c r="B52" s="72">
        <f>B18-B51</f>
        <v>20190494.86999999</v>
      </c>
      <c r="C52" s="73">
        <f>C18-C51</f>
        <v>17597644.960000008</v>
      </c>
      <c r="D52" s="74">
        <f>D18-D51</f>
        <v>121697951.88</v>
      </c>
    </row>
    <row r="53" spans="1:4" x14ac:dyDescent="0.3">
      <c r="B53" s="70"/>
      <c r="C53" s="70"/>
      <c r="D53" s="71"/>
    </row>
    <row r="55" spans="1:4" x14ac:dyDescent="0.3">
      <c r="D55" s="1"/>
    </row>
    <row r="56" spans="1:4" x14ac:dyDescent="0.3">
      <c r="D56" s="1"/>
    </row>
    <row r="57" spans="1:4" x14ac:dyDescent="0.3">
      <c r="D57" s="1"/>
    </row>
    <row r="58" spans="1:4" x14ac:dyDescent="0.3">
      <c r="D58" s="1"/>
    </row>
    <row r="59" spans="1:4" x14ac:dyDescent="0.3">
      <c r="D59" s="1"/>
    </row>
  </sheetData>
  <pageMargins left="0.45866141700000002" right="0.45866141700000002" top="0.74803149606299202" bottom="0.74803149606299202" header="0.31496062992126" footer="0.31496062992126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B919-61AE-40AB-9C5C-757BE9B93878}">
  <dimension ref="A1:P64"/>
  <sheetViews>
    <sheetView topLeftCell="A41" workbookViewId="0">
      <selection activeCell="K3" sqref="K3"/>
    </sheetView>
  </sheetViews>
  <sheetFormatPr defaultColWidth="9.109375" defaultRowHeight="14.4" x14ac:dyDescent="0.3"/>
  <cols>
    <col min="1" max="1" width="33.44140625" bestFit="1" customWidth="1"/>
    <col min="2" max="4" width="11.6640625" style="1" customWidth="1"/>
    <col min="5" max="10" width="15.88671875" style="1" customWidth="1"/>
    <col min="11" max="11" width="17.44140625" style="111" customWidth="1"/>
    <col min="12" max="12" width="20" customWidth="1"/>
    <col min="13" max="13" width="19" customWidth="1"/>
    <col min="15" max="15" width="18.5546875" style="1" hidden="1" customWidth="1"/>
    <col min="16" max="16" width="19.5546875" style="1" hidden="1" customWidth="1"/>
  </cols>
  <sheetData>
    <row r="1" spans="1:16" ht="29.25" customHeight="1" x14ac:dyDescent="0.3">
      <c r="A1" s="114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O1" s="115"/>
      <c r="P1" s="115"/>
    </row>
    <row r="2" spans="1:16" ht="36" customHeight="1" x14ac:dyDescent="0.3">
      <c r="A2" s="101" t="s">
        <v>0</v>
      </c>
      <c r="B2" s="102" t="s">
        <v>77</v>
      </c>
      <c r="C2" s="102" t="s">
        <v>76</v>
      </c>
      <c r="D2" s="102" t="s">
        <v>75</v>
      </c>
      <c r="E2" s="102" t="s">
        <v>79</v>
      </c>
      <c r="F2" s="102" t="s">
        <v>80</v>
      </c>
      <c r="G2" s="102" t="s">
        <v>81</v>
      </c>
      <c r="H2" s="102" t="s">
        <v>83</v>
      </c>
      <c r="I2" s="102" t="s">
        <v>84</v>
      </c>
      <c r="J2" s="102" t="s">
        <v>85</v>
      </c>
      <c r="K2" s="28" t="s">
        <v>65</v>
      </c>
      <c r="O2"/>
      <c r="P2"/>
    </row>
    <row r="3" spans="1:16" x14ac:dyDescent="0.3">
      <c r="A3" s="103" t="s">
        <v>54</v>
      </c>
      <c r="B3" s="32">
        <v>104790230.41</v>
      </c>
      <c r="C3" s="32">
        <f t="shared" ref="C3:H3" si="0">B53</f>
        <v>213097127.67999998</v>
      </c>
      <c r="D3" s="32">
        <f t="shared" si="0"/>
        <v>209666019.34999996</v>
      </c>
      <c r="E3" s="32">
        <f t="shared" si="0"/>
        <v>227148926.78999996</v>
      </c>
      <c r="F3" s="32">
        <f t="shared" si="0"/>
        <v>144367963.65999997</v>
      </c>
      <c r="G3" s="32">
        <f t="shared" si="0"/>
        <v>137176261.86999995</v>
      </c>
      <c r="H3" s="32">
        <f t="shared" si="0"/>
        <v>214142243.52999997</v>
      </c>
      <c r="I3" s="32">
        <f>H53</f>
        <v>142919987.81999993</v>
      </c>
      <c r="J3" s="32">
        <f>I53</f>
        <v>99217466.389999911</v>
      </c>
      <c r="K3" s="31">
        <f>B3+C3+D3</f>
        <v>527553377.43999994</v>
      </c>
      <c r="O3" s="84" t="e">
        <f>#REF!+#REF!+#REF!+#REF!+#REF!+K3+#REF!+#REF!+#REF!+L3+M3+N3</f>
        <v>#REF!</v>
      </c>
      <c r="P3" s="89"/>
    </row>
    <row r="4" spans="1:16" x14ac:dyDescent="0.3">
      <c r="A4" s="87" t="s">
        <v>64</v>
      </c>
      <c r="B4" s="22"/>
      <c r="C4" s="22"/>
      <c r="D4" s="22"/>
      <c r="E4" s="22"/>
      <c r="F4" s="22"/>
      <c r="G4" s="22">
        <v>0</v>
      </c>
      <c r="H4" s="22"/>
      <c r="I4" s="22"/>
      <c r="J4" s="22"/>
      <c r="K4" s="31">
        <f>B4+C4+D4+E4+F4+B4</f>
        <v>0</v>
      </c>
      <c r="O4" s="9">
        <v>50000000</v>
      </c>
      <c r="P4" s="90"/>
    </row>
    <row r="5" spans="1:16" x14ac:dyDescent="0.3">
      <c r="A5" s="87" t="s">
        <v>46</v>
      </c>
      <c r="B5" s="22">
        <v>180254000</v>
      </c>
      <c r="C5" s="22">
        <v>0</v>
      </c>
      <c r="D5" s="22">
        <v>0</v>
      </c>
      <c r="E5" s="22">
        <v>0</v>
      </c>
      <c r="F5" s="22"/>
      <c r="G5" s="22">
        <v>143046393.66999999</v>
      </c>
      <c r="H5" s="22">
        <v>0</v>
      </c>
      <c r="I5" s="22">
        <v>0</v>
      </c>
      <c r="J5" s="22">
        <v>106858000</v>
      </c>
      <c r="K5" s="31">
        <f>B5+C5+D5+E5+F5+G5+H5+I5+J5</f>
        <v>430158393.66999996</v>
      </c>
      <c r="O5" s="9">
        <v>383693000</v>
      </c>
      <c r="P5" s="90"/>
    </row>
    <row r="6" spans="1:16" x14ac:dyDescent="0.3">
      <c r="A6" s="87" t="s">
        <v>43</v>
      </c>
      <c r="B6" s="22">
        <v>48617000</v>
      </c>
      <c r="C6" s="22"/>
      <c r="D6" s="22">
        <v>26060000</v>
      </c>
      <c r="E6" s="22">
        <v>0</v>
      </c>
      <c r="F6" s="22">
        <v>0</v>
      </c>
      <c r="G6" s="22">
        <v>21717000</v>
      </c>
      <c r="H6" s="22">
        <v>0</v>
      </c>
      <c r="I6" s="22">
        <v>0</v>
      </c>
      <c r="J6" s="22">
        <f>3347000+62000000</f>
        <v>65347000</v>
      </c>
      <c r="K6" s="31">
        <f t="shared" ref="K6:K15" si="1">B6+C6+D6+E6+F6+G6+H6+I6+J6</f>
        <v>161741000</v>
      </c>
      <c r="O6" s="9">
        <v>94263000</v>
      </c>
      <c r="P6" s="90"/>
    </row>
    <row r="7" spans="1:16" x14ac:dyDescent="0.3">
      <c r="A7" s="87" t="s">
        <v>44</v>
      </c>
      <c r="B7" s="22">
        <v>6000000</v>
      </c>
      <c r="C7" s="22">
        <v>0</v>
      </c>
      <c r="D7" s="22">
        <v>0</v>
      </c>
      <c r="E7" s="22">
        <v>0</v>
      </c>
      <c r="F7" s="22">
        <v>0</v>
      </c>
      <c r="G7" s="22">
        <v>10020000</v>
      </c>
      <c r="H7" s="22">
        <v>0</v>
      </c>
      <c r="I7" s="22">
        <v>0</v>
      </c>
      <c r="J7" s="22">
        <v>1300000</v>
      </c>
      <c r="K7" s="31">
        <f t="shared" si="1"/>
        <v>17320000</v>
      </c>
      <c r="O7" s="9">
        <v>20000000</v>
      </c>
      <c r="P7" s="90"/>
    </row>
    <row r="8" spans="1:16" x14ac:dyDescent="0.3">
      <c r="A8" s="87" t="s">
        <v>51</v>
      </c>
      <c r="B8" s="22">
        <v>0</v>
      </c>
      <c r="C8" s="22">
        <v>2000000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31">
        <f t="shared" si="1"/>
        <v>2000000</v>
      </c>
      <c r="O8" s="9">
        <v>2145000</v>
      </c>
      <c r="P8" s="90"/>
    </row>
    <row r="9" spans="1:16" x14ac:dyDescent="0.3">
      <c r="A9" s="87" t="s">
        <v>45</v>
      </c>
      <c r="B9" s="22">
        <v>0</v>
      </c>
      <c r="C9" s="22">
        <v>2116000</v>
      </c>
      <c r="D9" s="22">
        <v>0</v>
      </c>
      <c r="E9" s="22">
        <v>0</v>
      </c>
      <c r="F9" s="22">
        <v>3808000</v>
      </c>
      <c r="G9" s="22">
        <v>0</v>
      </c>
      <c r="H9" s="22"/>
      <c r="I9" s="22"/>
      <c r="J9" s="22">
        <v>2539000</v>
      </c>
      <c r="K9" s="31">
        <f t="shared" si="1"/>
        <v>8463000</v>
      </c>
      <c r="O9" s="9">
        <v>5749000</v>
      </c>
      <c r="P9" s="90"/>
    </row>
    <row r="10" spans="1:16" x14ac:dyDescent="0.3">
      <c r="A10" s="87" t="s">
        <v>66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31">
        <f t="shared" si="1"/>
        <v>0</v>
      </c>
      <c r="O10" s="9">
        <v>19947068</v>
      </c>
      <c r="P10" s="90"/>
    </row>
    <row r="11" spans="1:16" x14ac:dyDescent="0.3">
      <c r="A11" s="87" t="s">
        <v>67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31">
        <f t="shared" si="1"/>
        <v>0</v>
      </c>
      <c r="O11" s="9"/>
      <c r="P11" s="90"/>
    </row>
    <row r="12" spans="1:16" x14ac:dyDescent="0.3">
      <c r="A12" s="87" t="s">
        <v>1</v>
      </c>
      <c r="B12" s="22">
        <v>53445319.530000001</v>
      </c>
      <c r="C12" s="22">
        <v>61745227.479999997</v>
      </c>
      <c r="D12" s="22">
        <v>82834147.040000007</v>
      </c>
      <c r="E12" s="22">
        <v>64052653.329999998</v>
      </c>
      <c r="F12" s="22">
        <v>70224271.939999998</v>
      </c>
      <c r="G12" s="22">
        <v>55717412</v>
      </c>
      <c r="H12" s="22">
        <v>53123602.93</v>
      </c>
      <c r="I12" s="22">
        <v>56352099.399999999</v>
      </c>
      <c r="J12" s="22">
        <v>65739910.689999998</v>
      </c>
      <c r="K12" s="31">
        <f t="shared" si="1"/>
        <v>563234644.33999991</v>
      </c>
      <c r="O12"/>
      <c r="P12"/>
    </row>
    <row r="13" spans="1:16" x14ac:dyDescent="0.3">
      <c r="A13" s="104" t="s">
        <v>38</v>
      </c>
      <c r="B13" s="22">
        <f>1540766.74+4584179.24</f>
        <v>6124945.9800000004</v>
      </c>
      <c r="C13" s="22">
        <v>13299899</v>
      </c>
      <c r="D13" s="22">
        <v>0</v>
      </c>
      <c r="E13" s="22">
        <v>0</v>
      </c>
      <c r="F13" s="22">
        <v>0</v>
      </c>
      <c r="G13" s="22">
        <v>0</v>
      </c>
      <c r="H13" s="22">
        <v>7582442.1299999999</v>
      </c>
      <c r="I13" s="22">
        <v>5936718.5099999998</v>
      </c>
      <c r="J13" s="22">
        <v>2498604.71</v>
      </c>
      <c r="K13" s="31">
        <f t="shared" si="1"/>
        <v>35442610.329999998</v>
      </c>
      <c r="O13"/>
      <c r="P13"/>
    </row>
    <row r="14" spans="1:16" x14ac:dyDescent="0.3">
      <c r="A14" s="112" t="s">
        <v>12</v>
      </c>
      <c r="B14" s="4">
        <v>5655210</v>
      </c>
      <c r="C14" s="4">
        <v>6926830.4500000002</v>
      </c>
      <c r="D14" s="4">
        <v>6215980.2800000003</v>
      </c>
      <c r="E14" s="4">
        <v>8081803.4500000002</v>
      </c>
      <c r="F14" s="4">
        <v>7374645</v>
      </c>
      <c r="G14" s="4">
        <v>6378501.1500000004</v>
      </c>
      <c r="H14" s="4">
        <v>5547806.54</v>
      </c>
      <c r="I14" s="4">
        <v>6488065.4800000004</v>
      </c>
      <c r="J14" s="4">
        <v>5748961.4199999999</v>
      </c>
      <c r="K14" s="31">
        <f t="shared" si="1"/>
        <v>58417803.769999996</v>
      </c>
      <c r="O14"/>
      <c r="P14"/>
    </row>
    <row r="15" spans="1:16" x14ac:dyDescent="0.3">
      <c r="A15" s="112" t="s">
        <v>8</v>
      </c>
      <c r="B15" s="4"/>
      <c r="C15" s="4"/>
      <c r="D15" s="4"/>
      <c r="E15" s="4">
        <v>9365341.0600000005</v>
      </c>
      <c r="F15" s="4">
        <v>5641105.9199999999</v>
      </c>
      <c r="G15" s="4">
        <v>5848489.8200000003</v>
      </c>
      <c r="H15" s="4">
        <v>7057057.2800000003</v>
      </c>
      <c r="I15" s="4">
        <v>8195478.4699999997</v>
      </c>
      <c r="J15" s="4">
        <v>9502303.0199999996</v>
      </c>
      <c r="K15" s="31">
        <f t="shared" si="1"/>
        <v>45609775.570000008</v>
      </c>
      <c r="O15"/>
      <c r="P15"/>
    </row>
    <row r="16" spans="1:16" x14ac:dyDescent="0.3">
      <c r="A16" s="88" t="s">
        <v>22</v>
      </c>
      <c r="B16" s="39">
        <f>SUM(B3:B15)</f>
        <v>404886705.91999996</v>
      </c>
      <c r="C16" s="39">
        <f t="shared" ref="C16:J16" si="2">SUM(C3:C15)</f>
        <v>299185084.60999995</v>
      </c>
      <c r="D16" s="39">
        <f t="shared" si="2"/>
        <v>324776146.66999996</v>
      </c>
      <c r="E16" s="39">
        <f t="shared" si="2"/>
        <v>308648724.62999994</v>
      </c>
      <c r="F16" s="39">
        <f t="shared" si="2"/>
        <v>231415986.51999995</v>
      </c>
      <c r="G16" s="39">
        <f t="shared" si="2"/>
        <v>379904058.50999993</v>
      </c>
      <c r="H16" s="39">
        <f t="shared" si="2"/>
        <v>287453152.40999997</v>
      </c>
      <c r="I16" s="39">
        <f t="shared" si="2"/>
        <v>219892349.67999992</v>
      </c>
      <c r="J16" s="39">
        <f t="shared" si="2"/>
        <v>358751246.2299999</v>
      </c>
      <c r="K16" s="39">
        <f t="shared" ref="K16" si="3">SUM(K3:K15)</f>
        <v>1849940605.1199996</v>
      </c>
      <c r="O16" s="39" t="e">
        <f>SUM(O3:O10)</f>
        <v>#REF!</v>
      </c>
      <c r="P16" s="91"/>
    </row>
    <row r="17" spans="1:16" x14ac:dyDescent="0.3">
      <c r="A17" s="112"/>
      <c r="B17" s="4"/>
      <c r="C17" s="4"/>
      <c r="D17" s="4"/>
      <c r="E17" s="4"/>
      <c r="F17" s="4"/>
      <c r="G17" s="4"/>
      <c r="H17" s="4"/>
      <c r="I17" s="4"/>
      <c r="J17" s="4"/>
      <c r="K17" s="110"/>
      <c r="O17" s="4"/>
      <c r="P17" s="92"/>
    </row>
    <row r="18" spans="1:16" x14ac:dyDescent="0.3">
      <c r="A18" s="107" t="s">
        <v>2</v>
      </c>
      <c r="B18" s="102" t="s">
        <v>77</v>
      </c>
      <c r="C18" s="102" t="s">
        <v>76</v>
      </c>
      <c r="D18" s="102" t="s">
        <v>75</v>
      </c>
      <c r="E18" s="102" t="s">
        <v>79</v>
      </c>
      <c r="F18" s="102" t="s">
        <v>80</v>
      </c>
      <c r="G18" s="102" t="s">
        <v>81</v>
      </c>
      <c r="H18" s="102" t="s">
        <v>83</v>
      </c>
      <c r="I18" s="102" t="s">
        <v>84</v>
      </c>
      <c r="J18" s="102" t="s">
        <v>85</v>
      </c>
      <c r="K18" s="28" t="s">
        <v>65</v>
      </c>
      <c r="O18" s="28"/>
      <c r="P18" s="93"/>
    </row>
    <row r="19" spans="1:16" x14ac:dyDescent="0.3">
      <c r="A19" s="100" t="s">
        <v>68</v>
      </c>
      <c r="B19" s="121"/>
      <c r="C19" s="121">
        <v>0</v>
      </c>
      <c r="D19" s="121">
        <v>0</v>
      </c>
      <c r="E19" s="121"/>
      <c r="F19" s="121"/>
      <c r="G19" s="121"/>
      <c r="H19" s="121"/>
      <c r="I19" s="121"/>
      <c r="J19" s="121"/>
      <c r="K19" s="31">
        <f>B19+C19+D19+E19+F19+G19</f>
        <v>0</v>
      </c>
      <c r="O19" s="5">
        <v>65000000</v>
      </c>
      <c r="P19" s="94"/>
    </row>
    <row r="20" spans="1:16" x14ac:dyDescent="0.3">
      <c r="A20" s="100" t="s">
        <v>13</v>
      </c>
      <c r="B20" s="122">
        <v>17115008.66</v>
      </c>
      <c r="C20" s="122">
        <v>16867479.440000001</v>
      </c>
      <c r="D20" s="122">
        <v>17964537.859999999</v>
      </c>
      <c r="E20" s="127">
        <v>19396755.719999999</v>
      </c>
      <c r="F20" s="122">
        <v>18426957.440000001</v>
      </c>
      <c r="G20" s="122">
        <v>18461317.100000001</v>
      </c>
      <c r="H20" s="122">
        <v>17264527.719999999</v>
      </c>
      <c r="I20" s="122">
        <v>17218146.289999999</v>
      </c>
      <c r="J20" s="122">
        <v>17972924.859999999</v>
      </c>
      <c r="K20" s="31">
        <f>B20+C20+D20+E20+F20+G20+H20+I20+J20</f>
        <v>160687655.08999997</v>
      </c>
      <c r="L20" s="113"/>
      <c r="O20" s="6">
        <v>287017686</v>
      </c>
      <c r="P20" s="95">
        <v>343017085</v>
      </c>
    </row>
    <row r="21" spans="1:16" x14ac:dyDescent="0.3">
      <c r="A21" s="100" t="s">
        <v>25</v>
      </c>
      <c r="B21" s="121">
        <v>494625</v>
      </c>
      <c r="C21" s="121">
        <v>493125</v>
      </c>
      <c r="D21" s="121">
        <v>475875</v>
      </c>
      <c r="E21" s="121">
        <v>512250</v>
      </c>
      <c r="F21" s="121">
        <v>473625</v>
      </c>
      <c r="G21" s="121">
        <v>0</v>
      </c>
      <c r="H21" s="121">
        <v>0</v>
      </c>
      <c r="I21" s="121">
        <v>0</v>
      </c>
      <c r="J21" s="121">
        <v>0</v>
      </c>
      <c r="K21" s="31">
        <f t="shared" ref="K21:K51" si="4">B21+C21+D21+E21+F21+G21+H21+I21+J21</f>
        <v>2449500</v>
      </c>
      <c r="O21" s="6">
        <v>10276953</v>
      </c>
      <c r="P21" s="95"/>
    </row>
    <row r="22" spans="1:16" hidden="1" x14ac:dyDescent="0.3">
      <c r="A22" s="100" t="s">
        <v>24</v>
      </c>
      <c r="B22" s="121"/>
      <c r="C22" s="121"/>
      <c r="D22" s="121"/>
      <c r="E22" s="121"/>
      <c r="F22" s="121"/>
      <c r="G22" s="121"/>
      <c r="H22" s="121"/>
      <c r="I22" s="121"/>
      <c r="J22" s="121"/>
      <c r="K22" s="31">
        <f t="shared" si="4"/>
        <v>0</v>
      </c>
      <c r="O22" s="6"/>
      <c r="P22" s="95"/>
    </row>
    <row r="23" spans="1:16" x14ac:dyDescent="0.3">
      <c r="A23" s="100" t="s">
        <v>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31">
        <f t="shared" si="4"/>
        <v>0</v>
      </c>
      <c r="L23" s="113"/>
      <c r="O23" s="6">
        <v>24735201</v>
      </c>
      <c r="P23" s="95"/>
    </row>
    <row r="24" spans="1:16" x14ac:dyDescent="0.3">
      <c r="A24" s="100" t="s">
        <v>74</v>
      </c>
      <c r="B24" s="121">
        <v>38478039</v>
      </c>
      <c r="C24" s="121">
        <v>3569127</v>
      </c>
      <c r="D24" s="121">
        <v>7113596</v>
      </c>
      <c r="E24" s="121">
        <v>57353506</v>
      </c>
      <c r="F24" s="121">
        <v>4292567</v>
      </c>
      <c r="G24" s="121">
        <v>18361032</v>
      </c>
      <c r="H24" s="121">
        <v>11825846</v>
      </c>
      <c r="I24" s="121">
        <v>9251623</v>
      </c>
      <c r="J24" s="121">
        <v>16275632</v>
      </c>
      <c r="K24" s="31">
        <f t="shared" si="4"/>
        <v>166520968</v>
      </c>
      <c r="O24" s="6"/>
      <c r="P24" s="95"/>
    </row>
    <row r="25" spans="1:16" x14ac:dyDescent="0.3">
      <c r="A25" s="100" t="s">
        <v>73</v>
      </c>
      <c r="B25" s="121">
        <f>6898629.27+5605096.48</f>
        <v>12503725.75</v>
      </c>
      <c r="C25" s="121">
        <f>5738102.41+6891616.32</f>
        <v>12629718.73</v>
      </c>
      <c r="D25" s="121">
        <f>6375462.05+6878915.66</f>
        <v>13254377.710000001</v>
      </c>
      <c r="E25" s="121">
        <f>7308207.36+7563264.88</f>
        <v>14871472.24</v>
      </c>
      <c r="F25" s="121">
        <f>6942188.91+7103693.67</f>
        <v>14045882.58</v>
      </c>
      <c r="G25" s="121">
        <f>7075110.42+6883174.86</f>
        <v>13958285.280000001</v>
      </c>
      <c r="H25" s="121">
        <f>6439529.75+7057052.5</f>
        <v>13496582.25</v>
      </c>
      <c r="I25" s="121">
        <f>6407677.15+7025048.24</f>
        <v>13432725.390000001</v>
      </c>
      <c r="J25" s="121">
        <f>6799258.43+7253426.23</f>
        <v>14052684.66</v>
      </c>
      <c r="K25" s="31">
        <f t="shared" si="4"/>
        <v>122245454.59</v>
      </c>
      <c r="O25" s="6">
        <f>2128395.62+6720624.25+6697803.45</f>
        <v>15546823.32</v>
      </c>
      <c r="P25" s="95"/>
    </row>
    <row r="26" spans="1:16" x14ac:dyDescent="0.3">
      <c r="A26" s="100" t="s">
        <v>72</v>
      </c>
      <c r="B26" s="22">
        <v>2360089.52</v>
      </c>
      <c r="C26" s="22">
        <v>2203660.21</v>
      </c>
      <c r="D26" s="22">
        <v>2385586.33</v>
      </c>
      <c r="E26" s="22">
        <f>687041+202883.6+180367.2+1009339+170473.01+155506</f>
        <v>2405609.81</v>
      </c>
      <c r="F26" s="22">
        <v>2204752.77</v>
      </c>
      <c r="G26" s="22">
        <v>2409221.5099999998</v>
      </c>
      <c r="H26" s="22">
        <v>2363032.4700000002</v>
      </c>
      <c r="I26" s="22">
        <v>2346574.35</v>
      </c>
      <c r="J26" s="22">
        <v>2376582.36</v>
      </c>
      <c r="K26" s="31">
        <f t="shared" si="4"/>
        <v>21055109.330000002</v>
      </c>
      <c r="O26" s="6"/>
      <c r="P26" s="95"/>
    </row>
    <row r="27" spans="1:16" ht="25.5" customHeight="1" x14ac:dyDescent="0.3">
      <c r="A27" s="100" t="s">
        <v>37</v>
      </c>
      <c r="B27" s="123">
        <f>1107700+220589.3</f>
        <v>1328289.3</v>
      </c>
      <c r="C27" s="123">
        <f>1107700+220589.3</f>
        <v>1328289.3</v>
      </c>
      <c r="D27" s="123">
        <f>1296000+220589.3</f>
        <v>1516589.3</v>
      </c>
      <c r="E27" s="123">
        <v>1516289</v>
      </c>
      <c r="F27" s="123">
        <v>1516289</v>
      </c>
      <c r="G27" s="123">
        <v>1516289</v>
      </c>
      <c r="H27" s="123">
        <f>1540080+43890.9+253677.7</f>
        <v>1837648.5999999999</v>
      </c>
      <c r="I27" s="123">
        <f>1540080+253677.7</f>
        <v>1793757.7</v>
      </c>
      <c r="J27" s="123">
        <f>1540080+43890.9+253677.7</f>
        <v>1837648.5999999999</v>
      </c>
      <c r="K27" s="31">
        <f t="shared" si="4"/>
        <v>14191089.799999999</v>
      </c>
      <c r="O27" s="6">
        <v>1191878.25</v>
      </c>
      <c r="P27" s="95"/>
    </row>
    <row r="28" spans="1:16" ht="14.1" customHeight="1" x14ac:dyDescent="0.3">
      <c r="A28" s="100" t="s">
        <v>9</v>
      </c>
      <c r="B28" s="22">
        <v>24395225.170000002</v>
      </c>
      <c r="C28" s="22">
        <v>7108677.9000000004</v>
      </c>
      <c r="D28" s="22">
        <v>11677603.800000001</v>
      </c>
      <c r="E28" s="22">
        <v>11720954.41</v>
      </c>
      <c r="F28" s="22">
        <v>7032206.5899999999</v>
      </c>
      <c r="G28" s="22">
        <v>4969769.9000000004</v>
      </c>
      <c r="H28" s="22">
        <v>0</v>
      </c>
      <c r="I28" s="22">
        <v>0</v>
      </c>
      <c r="J28" s="22">
        <v>0</v>
      </c>
      <c r="K28" s="31">
        <f t="shared" si="4"/>
        <v>66904437.770000003</v>
      </c>
      <c r="O28" s="6">
        <v>78429307</v>
      </c>
      <c r="P28" s="95"/>
    </row>
    <row r="29" spans="1:16" ht="20.25" customHeight="1" x14ac:dyDescent="0.3">
      <c r="A29" s="126" t="s">
        <v>14</v>
      </c>
      <c r="B29" s="108">
        <v>0</v>
      </c>
      <c r="C29" s="108">
        <v>752565</v>
      </c>
      <c r="D29" s="108">
        <v>0</v>
      </c>
      <c r="E29" s="108">
        <v>892782</v>
      </c>
      <c r="F29" s="108">
        <v>627438.13</v>
      </c>
      <c r="G29" s="108">
        <v>818085.26</v>
      </c>
      <c r="H29" s="108">
        <v>0</v>
      </c>
      <c r="I29" s="108">
        <v>0</v>
      </c>
      <c r="J29" s="108">
        <v>1017047.1</v>
      </c>
      <c r="K29" s="31">
        <f t="shared" si="4"/>
        <v>4107917.4899999998</v>
      </c>
      <c r="O29" s="6">
        <v>12565505.029999999</v>
      </c>
      <c r="P29" s="95"/>
    </row>
    <row r="30" spans="1:16" ht="20.25" customHeight="1" x14ac:dyDescent="0.3">
      <c r="A30" s="126" t="s">
        <v>69</v>
      </c>
      <c r="B30" s="108">
        <v>0</v>
      </c>
      <c r="C30" s="108">
        <v>1225325</v>
      </c>
      <c r="D30" s="108">
        <v>2259263</v>
      </c>
      <c r="E30" s="108">
        <v>2597280</v>
      </c>
      <c r="F30" s="108">
        <v>0</v>
      </c>
      <c r="G30" s="108">
        <v>0</v>
      </c>
      <c r="H30" s="108">
        <f>401985+125235</f>
        <v>527220</v>
      </c>
      <c r="I30" s="108">
        <f>274464+221058</f>
        <v>495522</v>
      </c>
      <c r="J30" s="108">
        <f>370316</f>
        <v>370316</v>
      </c>
      <c r="K30" s="31">
        <f t="shared" si="4"/>
        <v>7474926</v>
      </c>
      <c r="O30" s="6"/>
      <c r="P30" s="95"/>
    </row>
    <row r="31" spans="1:16" ht="20.399999999999999" customHeight="1" x14ac:dyDescent="0.3">
      <c r="A31" s="100" t="s">
        <v>27</v>
      </c>
      <c r="B31" s="109">
        <v>78322482</v>
      </c>
      <c r="C31" s="109">
        <v>26233914</v>
      </c>
      <c r="D31" s="109">
        <v>15000000</v>
      </c>
      <c r="E31" s="109">
        <v>30525495.32</v>
      </c>
      <c r="F31" s="109">
        <v>19384953.300000001</v>
      </c>
      <c r="G31" s="109">
        <v>81551205.219999999</v>
      </c>
      <c r="H31" s="109">
        <v>80048172.700000003</v>
      </c>
      <c r="I31" s="109">
        <v>60717923</v>
      </c>
      <c r="J31" s="109">
        <v>77690766</v>
      </c>
      <c r="K31" s="31">
        <f t="shared" si="4"/>
        <v>469474911.54000002</v>
      </c>
      <c r="M31" s="116"/>
      <c r="O31" s="16">
        <v>282222392</v>
      </c>
      <c r="P31" s="96"/>
    </row>
    <row r="32" spans="1:16" ht="15" customHeight="1" x14ac:dyDescent="0.3">
      <c r="A32" s="126" t="s">
        <v>15</v>
      </c>
      <c r="B32" s="108">
        <v>988629</v>
      </c>
      <c r="C32" s="108">
        <v>952372</v>
      </c>
      <c r="D32" s="108"/>
      <c r="E32" s="108">
        <v>975064.57</v>
      </c>
      <c r="F32" s="108">
        <v>987275</v>
      </c>
      <c r="G32" s="108">
        <v>1197275.67</v>
      </c>
      <c r="H32" s="108">
        <v>1033342.34</v>
      </c>
      <c r="I32" s="108">
        <v>1070958.29</v>
      </c>
      <c r="J32" s="108">
        <v>987918.29</v>
      </c>
      <c r="K32" s="31">
        <f t="shared" si="4"/>
        <v>8192835.1600000001</v>
      </c>
      <c r="O32" s="6">
        <v>8773937</v>
      </c>
      <c r="P32" s="95"/>
    </row>
    <row r="33" spans="1:16" x14ac:dyDescent="0.3">
      <c r="A33" s="126" t="s">
        <v>29</v>
      </c>
      <c r="B33" s="22">
        <v>0</v>
      </c>
      <c r="C33" s="22">
        <v>565233</v>
      </c>
      <c r="D33" s="22">
        <v>2573629</v>
      </c>
      <c r="E33" s="22">
        <v>652728.6</v>
      </c>
      <c r="F33" s="22">
        <v>728750</v>
      </c>
      <c r="G33" s="22"/>
      <c r="H33" s="22"/>
      <c r="I33" s="22"/>
      <c r="J33" s="22">
        <v>2573162</v>
      </c>
      <c r="K33" s="31">
        <f t="shared" si="4"/>
        <v>7093502.5999999996</v>
      </c>
      <c r="O33" s="6"/>
      <c r="P33" s="95"/>
    </row>
    <row r="34" spans="1:16" x14ac:dyDescent="0.3">
      <c r="A34" s="126" t="s">
        <v>16</v>
      </c>
      <c r="B34" s="22">
        <v>237152.74</v>
      </c>
      <c r="C34" s="22">
        <v>214360.44</v>
      </c>
      <c r="D34" s="22">
        <v>200405.07</v>
      </c>
      <c r="E34" s="22">
        <f>226872.56+44.39</f>
        <v>226916.95</v>
      </c>
      <c r="F34" s="22">
        <f>175899.52+48789.33</f>
        <v>224688.84999999998</v>
      </c>
      <c r="G34" s="22">
        <f>175899.52+28946.39+39.56</f>
        <v>204885.46999999997</v>
      </c>
      <c r="H34" s="22">
        <v>0</v>
      </c>
      <c r="I34" s="22">
        <v>0</v>
      </c>
      <c r="J34" s="22">
        <v>150407.17000000001</v>
      </c>
      <c r="K34" s="31">
        <f t="shared" si="4"/>
        <v>1458816.6899999997</v>
      </c>
      <c r="O34" s="6">
        <v>2079609</v>
      </c>
      <c r="P34" s="95"/>
    </row>
    <row r="35" spans="1:16" x14ac:dyDescent="0.3">
      <c r="A35" s="126" t="s">
        <v>18</v>
      </c>
      <c r="B35" s="108">
        <v>3589625</v>
      </c>
      <c r="C35" s="108">
        <v>283615</v>
      </c>
      <c r="D35" s="108">
        <v>2997045</v>
      </c>
      <c r="E35" s="108">
        <v>1576332.51</v>
      </c>
      <c r="F35" s="108">
        <v>4840053.96</v>
      </c>
      <c r="G35" s="108">
        <v>3582562.06</v>
      </c>
      <c r="H35" s="108">
        <v>2758232</v>
      </c>
      <c r="I35" s="108">
        <v>3519544</v>
      </c>
      <c r="J35" s="108">
        <v>5390165.0599999996</v>
      </c>
      <c r="K35" s="31">
        <f t="shared" si="4"/>
        <v>28537174.589999996</v>
      </c>
      <c r="O35" s="6">
        <v>20233626</v>
      </c>
      <c r="P35" s="95"/>
    </row>
    <row r="36" spans="1:16" x14ac:dyDescent="0.3">
      <c r="A36" s="126" t="s">
        <v>31</v>
      </c>
      <c r="B36" s="123">
        <v>105019</v>
      </c>
      <c r="C36" s="123">
        <v>1252362</v>
      </c>
      <c r="D36" s="123">
        <v>0</v>
      </c>
      <c r="E36" s="123">
        <v>972550</v>
      </c>
      <c r="F36" s="123">
        <v>890272</v>
      </c>
      <c r="G36" s="123"/>
      <c r="H36" s="123">
        <v>505349.2</v>
      </c>
      <c r="I36" s="123">
        <v>516642.43</v>
      </c>
      <c r="J36" s="123">
        <v>716689.38</v>
      </c>
      <c r="K36" s="31">
        <f t="shared" si="4"/>
        <v>4958884.01</v>
      </c>
      <c r="O36" s="6">
        <v>1871066</v>
      </c>
      <c r="P36" s="95"/>
    </row>
    <row r="37" spans="1:16" x14ac:dyDescent="0.3">
      <c r="A37" s="126" t="s">
        <v>19</v>
      </c>
      <c r="B37" s="108">
        <v>41214</v>
      </c>
      <c r="C37" s="108">
        <v>249323</v>
      </c>
      <c r="D37" s="108">
        <v>164313</v>
      </c>
      <c r="E37" s="108">
        <v>180352</v>
      </c>
      <c r="F37" s="108">
        <v>352760</v>
      </c>
      <c r="G37" s="108"/>
      <c r="H37" s="108">
        <v>1120253</v>
      </c>
      <c r="I37" s="108">
        <v>0</v>
      </c>
      <c r="J37" s="108">
        <v>872856</v>
      </c>
      <c r="K37" s="31">
        <f t="shared" si="4"/>
        <v>2981071</v>
      </c>
      <c r="O37" s="6">
        <v>19670548</v>
      </c>
      <c r="P37" s="95"/>
    </row>
    <row r="38" spans="1:16" x14ac:dyDescent="0.3">
      <c r="A38" s="126" t="s">
        <v>30</v>
      </c>
      <c r="B38" s="108">
        <v>218865</v>
      </c>
      <c r="C38" s="108">
        <v>147463</v>
      </c>
      <c r="D38" s="108">
        <v>139188</v>
      </c>
      <c r="E38" s="108">
        <v>140275</v>
      </c>
      <c r="F38" s="108">
        <v>141327</v>
      </c>
      <c r="G38" s="108"/>
      <c r="H38" s="108">
        <v>7745</v>
      </c>
      <c r="I38" s="108">
        <v>8490</v>
      </c>
      <c r="J38" s="108">
        <v>8456</v>
      </c>
      <c r="K38" s="31">
        <f t="shared" si="4"/>
        <v>811809</v>
      </c>
      <c r="O38" s="6">
        <v>2015763</v>
      </c>
      <c r="P38" s="95"/>
    </row>
    <row r="39" spans="1:16" x14ac:dyDescent="0.3">
      <c r="A39" s="126" t="s">
        <v>20</v>
      </c>
      <c r="B39" s="123">
        <v>252758</v>
      </c>
      <c r="C39" s="123"/>
      <c r="D39" s="123"/>
      <c r="E39" s="123">
        <v>50772</v>
      </c>
      <c r="F39" s="123">
        <v>120772</v>
      </c>
      <c r="G39" s="123">
        <v>72117</v>
      </c>
      <c r="H39" s="123">
        <v>115272</v>
      </c>
      <c r="I39" s="123">
        <v>185230</v>
      </c>
      <c r="J39" s="123">
        <v>175116</v>
      </c>
      <c r="K39" s="31">
        <f t="shared" si="4"/>
        <v>972037</v>
      </c>
      <c r="O39" s="6">
        <v>8133204</v>
      </c>
      <c r="P39" s="95"/>
    </row>
    <row r="40" spans="1:16" x14ac:dyDescent="0.3">
      <c r="A40" s="100" t="s">
        <v>40</v>
      </c>
      <c r="B40" s="22">
        <v>2278158</v>
      </c>
      <c r="C40" s="22">
        <v>1270892</v>
      </c>
      <c r="D40" s="22">
        <v>988623</v>
      </c>
      <c r="E40" s="22">
        <v>1278250</v>
      </c>
      <c r="F40" s="22">
        <v>850273</v>
      </c>
      <c r="G40" s="22">
        <v>895265</v>
      </c>
      <c r="H40" s="22">
        <v>962530</v>
      </c>
      <c r="I40" s="22">
        <v>1162650</v>
      </c>
      <c r="J40" s="22">
        <v>1727325</v>
      </c>
      <c r="K40" s="31">
        <f t="shared" si="4"/>
        <v>11413966</v>
      </c>
      <c r="O40" s="6">
        <v>23354257.530000001</v>
      </c>
      <c r="P40" s="95"/>
    </row>
    <row r="41" spans="1:16" x14ac:dyDescent="0.3">
      <c r="A41" s="126" t="s">
        <v>17</v>
      </c>
      <c r="B41" s="108">
        <v>86821</v>
      </c>
      <c r="C41" s="108">
        <f>526967-C21</f>
        <v>33842</v>
      </c>
      <c r="D41" s="108">
        <v>162653</v>
      </c>
      <c r="E41" s="108">
        <v>192072</v>
      </c>
      <c r="F41" s="108">
        <v>172278</v>
      </c>
      <c r="G41" s="108">
        <v>98250</v>
      </c>
      <c r="H41" s="108">
        <v>101250</v>
      </c>
      <c r="I41" s="108">
        <v>82520.320000000007</v>
      </c>
      <c r="J41" s="108">
        <v>75325</v>
      </c>
      <c r="K41" s="31">
        <f t="shared" si="4"/>
        <v>1005011.3200000001</v>
      </c>
      <c r="O41" s="69">
        <v>365467</v>
      </c>
      <c r="P41" s="95"/>
    </row>
    <row r="42" spans="1:16" x14ac:dyDescent="0.3">
      <c r="A42" s="100" t="s">
        <v>28</v>
      </c>
      <c r="B42" s="22">
        <v>319651.19</v>
      </c>
      <c r="C42" s="22">
        <v>319651.19</v>
      </c>
      <c r="D42" s="22">
        <v>4478882.84</v>
      </c>
      <c r="E42" s="22">
        <v>2128182.7000000002</v>
      </c>
      <c r="F42" s="22">
        <v>2114038.5</v>
      </c>
      <c r="G42" s="22">
        <v>4478882.84</v>
      </c>
      <c r="H42" s="22">
        <v>319651.19</v>
      </c>
      <c r="I42" s="22">
        <v>319651.19</v>
      </c>
      <c r="J42" s="22">
        <v>4478883</v>
      </c>
      <c r="K42" s="31">
        <f t="shared" si="4"/>
        <v>18957474.640000001</v>
      </c>
      <c r="L42" s="85"/>
      <c r="O42" s="26">
        <v>31058550</v>
      </c>
      <c r="P42" s="97">
        <v>24448557</v>
      </c>
    </row>
    <row r="43" spans="1:16" hidden="1" x14ac:dyDescent="0.3">
      <c r="A43" s="100" t="s">
        <v>4</v>
      </c>
      <c r="B43" s="22"/>
      <c r="C43" s="22"/>
      <c r="D43" s="22"/>
      <c r="E43" s="22"/>
      <c r="F43" s="22"/>
      <c r="G43" s="22"/>
      <c r="H43" s="22"/>
      <c r="I43" s="22"/>
      <c r="J43" s="22"/>
      <c r="K43" s="31">
        <f t="shared" si="4"/>
        <v>0</v>
      </c>
      <c r="O43" s="86"/>
      <c r="P43" s="95"/>
    </row>
    <row r="44" spans="1:16" x14ac:dyDescent="0.3">
      <c r="A44" s="100" t="s">
        <v>71</v>
      </c>
      <c r="B44" s="108">
        <v>0</v>
      </c>
      <c r="C44" s="108">
        <v>2140</v>
      </c>
      <c r="D44" s="108">
        <v>23996.38</v>
      </c>
      <c r="E44" s="108">
        <v>0</v>
      </c>
      <c r="F44" s="108">
        <v>2455192.7599999998</v>
      </c>
      <c r="G44" s="108">
        <v>0</v>
      </c>
      <c r="H44" s="108">
        <v>0</v>
      </c>
      <c r="I44" s="108">
        <v>0</v>
      </c>
      <c r="J44" s="108">
        <v>0</v>
      </c>
      <c r="K44" s="31">
        <f t="shared" si="4"/>
        <v>2481329.1399999997</v>
      </c>
      <c r="O44" s="6">
        <v>5870072</v>
      </c>
      <c r="P44" s="95"/>
    </row>
    <row r="45" spans="1:16" hidden="1" x14ac:dyDescent="0.3">
      <c r="A45" s="100" t="s">
        <v>5</v>
      </c>
      <c r="B45" s="22"/>
      <c r="C45" s="22"/>
      <c r="D45" s="22"/>
      <c r="E45" s="22"/>
      <c r="F45" s="22"/>
      <c r="G45" s="22"/>
      <c r="H45" s="22"/>
      <c r="I45" s="22"/>
      <c r="J45" s="22"/>
      <c r="K45" s="31">
        <f t="shared" si="4"/>
        <v>0</v>
      </c>
      <c r="O45" s="6"/>
      <c r="P45" s="95"/>
    </row>
    <row r="46" spans="1:16" hidden="1" x14ac:dyDescent="0.3">
      <c r="A46" s="100" t="s">
        <v>34</v>
      </c>
      <c r="B46" s="22"/>
      <c r="C46" s="22"/>
      <c r="D46" s="22"/>
      <c r="E46" s="22"/>
      <c r="F46" s="22"/>
      <c r="G46" s="22"/>
      <c r="H46" s="22"/>
      <c r="I46" s="22"/>
      <c r="J46" s="22"/>
      <c r="K46" s="31">
        <f t="shared" si="4"/>
        <v>0</v>
      </c>
      <c r="O46" s="6"/>
      <c r="P46" s="95"/>
    </row>
    <row r="47" spans="1:16" x14ac:dyDescent="0.3">
      <c r="A47" s="100" t="s">
        <v>35</v>
      </c>
      <c r="B47" s="22">
        <f>1676747.48+885111.25</f>
        <v>2561858.73</v>
      </c>
      <c r="C47" s="22">
        <f>1676717.48+904294.35</f>
        <v>2581011.83</v>
      </c>
      <c r="D47" s="22">
        <f>1676717.48+902752.9</f>
        <v>2579470.38</v>
      </c>
      <c r="E47" s="22">
        <v>2581012</v>
      </c>
      <c r="F47" s="22">
        <v>2572720</v>
      </c>
      <c r="G47" s="22">
        <v>2568721</v>
      </c>
      <c r="H47" s="22">
        <f>533354.77+436544.19+555496.88+626437.5+836746.95</f>
        <v>2988580.29</v>
      </c>
      <c r="I47" s="22">
        <f>836746.95+626437.5+555496.68+436544.19+557743.03</f>
        <v>3012968.3499999996</v>
      </c>
      <c r="J47" s="22">
        <f>2568666+496005.93</f>
        <v>3064671.93</v>
      </c>
      <c r="K47" s="31">
        <f t="shared" si="4"/>
        <v>24511014.509999998</v>
      </c>
      <c r="O47" s="6">
        <v>26067941</v>
      </c>
      <c r="P47" s="95"/>
    </row>
    <row r="48" spans="1:16" x14ac:dyDescent="0.3">
      <c r="A48" s="100" t="s">
        <v>36</v>
      </c>
      <c r="B48" s="123">
        <v>2758732.18</v>
      </c>
      <c r="C48" s="123">
        <v>4524784.22</v>
      </c>
      <c r="D48" s="123">
        <v>4972784.22</v>
      </c>
      <c r="E48" s="123">
        <v>5541464.3600000003</v>
      </c>
      <c r="F48" s="123">
        <v>5049364.3</v>
      </c>
      <c r="G48" s="123">
        <v>4354453.72</v>
      </c>
      <c r="H48" s="123">
        <v>3605658.83</v>
      </c>
      <c r="I48" s="123">
        <v>4242704.9800000004</v>
      </c>
      <c r="J48" s="123">
        <v>3748181.14</v>
      </c>
      <c r="K48" s="31">
        <f t="shared" si="4"/>
        <v>38798127.950000003</v>
      </c>
      <c r="L48" s="128"/>
      <c r="O48" s="6">
        <v>34847861</v>
      </c>
      <c r="P48" s="95"/>
    </row>
    <row r="49" spans="1:16" x14ac:dyDescent="0.3">
      <c r="A49" s="100" t="s">
        <v>39</v>
      </c>
      <c r="B49" s="22">
        <v>0</v>
      </c>
      <c r="C49" s="22">
        <v>0</v>
      </c>
      <c r="D49" s="22">
        <v>2855113.99</v>
      </c>
      <c r="E49" s="22">
        <v>718118.78</v>
      </c>
      <c r="F49" s="22">
        <v>2208125.4700000002</v>
      </c>
      <c r="G49" s="22">
        <v>2736926.95</v>
      </c>
      <c r="H49" s="22">
        <v>0</v>
      </c>
      <c r="I49" s="22">
        <v>0</v>
      </c>
      <c r="J49" s="22">
        <v>0</v>
      </c>
      <c r="K49" s="31">
        <f t="shared" si="4"/>
        <v>8518285.1900000013</v>
      </c>
      <c r="O49" s="6">
        <v>3088553.09</v>
      </c>
      <c r="P49" s="95"/>
    </row>
    <row r="50" spans="1:16" x14ac:dyDescent="0.3">
      <c r="A50" s="100" t="s">
        <v>70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31">
        <f>B50+C50+D50+E50+F50+G50+H50+I50+J50</f>
        <v>0</v>
      </c>
      <c r="O50" s="6"/>
      <c r="P50" s="95"/>
    </row>
    <row r="51" spans="1:16" x14ac:dyDescent="0.3">
      <c r="A51" s="126" t="s">
        <v>78</v>
      </c>
      <c r="B51" s="22">
        <v>3353610</v>
      </c>
      <c r="C51" s="22">
        <v>4710134</v>
      </c>
      <c r="D51" s="22">
        <v>3843687</v>
      </c>
      <c r="E51" s="22">
        <v>5274275</v>
      </c>
      <c r="F51" s="22">
        <v>2527162</v>
      </c>
      <c r="G51" s="22">
        <v>3527270</v>
      </c>
      <c r="H51" s="22">
        <v>3652271</v>
      </c>
      <c r="I51" s="22">
        <v>1297252</v>
      </c>
      <c r="J51" s="22">
        <v>3896257</v>
      </c>
      <c r="K51" s="31">
        <f t="shared" si="4"/>
        <v>32081918</v>
      </c>
      <c r="O51" s="6"/>
      <c r="P51" s="95"/>
    </row>
    <row r="52" spans="1:16" x14ac:dyDescent="0.3">
      <c r="A52" s="105" t="s">
        <v>6</v>
      </c>
      <c r="B52" s="124">
        <f t="shared" ref="B52:J52" si="5">SUM(B19:B51)</f>
        <v>191789578.23999998</v>
      </c>
      <c r="C52" s="124">
        <f t="shared" si="5"/>
        <v>89519065.25999999</v>
      </c>
      <c r="D52" s="124">
        <f t="shared" si="5"/>
        <v>97627219.87999998</v>
      </c>
      <c r="E52" s="124">
        <f t="shared" si="5"/>
        <v>164280760.96999997</v>
      </c>
      <c r="F52" s="124">
        <f t="shared" si="5"/>
        <v>94239724.650000006</v>
      </c>
      <c r="G52" s="124">
        <f t="shared" si="5"/>
        <v>165761814.97999996</v>
      </c>
      <c r="H52" s="124">
        <f t="shared" si="5"/>
        <v>144533164.59000003</v>
      </c>
      <c r="I52" s="124">
        <f t="shared" si="5"/>
        <v>120674883.29000001</v>
      </c>
      <c r="J52" s="124">
        <f t="shared" si="5"/>
        <v>159459014.54999998</v>
      </c>
      <c r="K52" s="31">
        <f>B52+C52+D52</f>
        <v>378935863.38</v>
      </c>
      <c r="O52" s="6">
        <f>SUM(O19:O51)</f>
        <v>964416200.21999991</v>
      </c>
      <c r="P52" s="95"/>
    </row>
    <row r="53" spans="1:16" ht="15" thickBot="1" x14ac:dyDescent="0.35">
      <c r="A53" s="106" t="s">
        <v>7</v>
      </c>
      <c r="B53" s="125">
        <f t="shared" ref="B53:K53" si="6">B16-B52</f>
        <v>213097127.67999998</v>
      </c>
      <c r="C53" s="125">
        <f t="shared" si="6"/>
        <v>209666019.34999996</v>
      </c>
      <c r="D53" s="125">
        <f t="shared" si="6"/>
        <v>227148926.78999996</v>
      </c>
      <c r="E53" s="125">
        <f t="shared" si="6"/>
        <v>144367963.65999997</v>
      </c>
      <c r="F53" s="125">
        <f t="shared" si="6"/>
        <v>137176261.86999995</v>
      </c>
      <c r="G53" s="125">
        <f t="shared" si="6"/>
        <v>214142243.52999997</v>
      </c>
      <c r="H53" s="125">
        <f t="shared" si="6"/>
        <v>142919987.81999993</v>
      </c>
      <c r="I53" s="125">
        <f t="shared" si="6"/>
        <v>99217466.389999911</v>
      </c>
      <c r="J53" s="125">
        <f t="shared" si="6"/>
        <v>199292231.67999992</v>
      </c>
      <c r="K53" s="106">
        <f t="shared" si="6"/>
        <v>1471004741.7399998</v>
      </c>
      <c r="O53" s="98" t="e">
        <f>O16-O52</f>
        <v>#REF!</v>
      </c>
      <c r="P53" s="99"/>
    </row>
    <row r="56" spans="1:16" x14ac:dyDescent="0.3">
      <c r="C56" s="117"/>
      <c r="D56" s="117"/>
      <c r="E56" s="117"/>
      <c r="F56" s="117"/>
      <c r="G56" s="117"/>
      <c r="H56" s="117"/>
      <c r="I56" s="117"/>
      <c r="J56" s="117"/>
      <c r="K56" s="118"/>
    </row>
    <row r="57" spans="1:16" x14ac:dyDescent="0.3">
      <c r="B57" s="120"/>
      <c r="C57" s="120"/>
      <c r="D57" s="120"/>
      <c r="E57" s="120"/>
      <c r="F57" s="120"/>
      <c r="G57" s="120"/>
      <c r="H57" s="120"/>
      <c r="I57" s="120"/>
      <c r="J57" s="120"/>
      <c r="K57" s="118"/>
    </row>
    <row r="58" spans="1:16" x14ac:dyDescent="0.3">
      <c r="B58" s="117"/>
      <c r="C58" s="117"/>
      <c r="D58" s="117"/>
      <c r="E58" s="117"/>
      <c r="F58" s="117"/>
      <c r="G58" s="117"/>
      <c r="K58" s="118"/>
    </row>
    <row r="59" spans="1:16" x14ac:dyDescent="0.3">
      <c r="B59" s="119"/>
      <c r="C59" s="119"/>
      <c r="D59" s="119"/>
      <c r="E59" s="119"/>
      <c r="F59" s="119"/>
      <c r="G59" s="119"/>
      <c r="H59" s="119"/>
      <c r="I59" s="119"/>
      <c r="J59" s="119"/>
      <c r="K59" s="118"/>
    </row>
    <row r="60" spans="1:16" x14ac:dyDescent="0.3">
      <c r="B60" s="117"/>
      <c r="C60" s="117"/>
      <c r="D60" s="117"/>
      <c r="E60" s="117"/>
      <c r="F60" s="117"/>
      <c r="G60" s="117"/>
      <c r="H60" s="117"/>
      <c r="I60" s="117"/>
      <c r="J60" s="117"/>
      <c r="K60" s="118"/>
      <c r="L60" s="117"/>
    </row>
    <row r="61" spans="1:16" x14ac:dyDescent="0.3">
      <c r="B61" s="117"/>
      <c r="C61" s="117"/>
      <c r="D61" s="117"/>
      <c r="E61" s="117"/>
      <c r="F61" s="117"/>
      <c r="G61" s="117"/>
      <c r="H61" s="117"/>
      <c r="I61" s="117"/>
      <c r="J61" s="117"/>
      <c r="K61" s="118"/>
      <c r="L61" s="113"/>
    </row>
    <row r="62" spans="1:16" x14ac:dyDescent="0.3">
      <c r="B62" s="117"/>
      <c r="C62" s="117"/>
      <c r="D62" s="117"/>
      <c r="E62" s="117"/>
      <c r="F62" s="117"/>
      <c r="G62" s="117"/>
      <c r="H62" s="117"/>
      <c r="I62" s="117"/>
      <c r="J62" s="117"/>
      <c r="K62" s="118"/>
      <c r="L62" s="113"/>
    </row>
    <row r="63" spans="1:16" x14ac:dyDescent="0.3">
      <c r="B63" s="117"/>
      <c r="C63" s="117"/>
      <c r="D63" s="117"/>
      <c r="E63" s="117"/>
      <c r="F63" s="117"/>
      <c r="G63" s="117"/>
      <c r="H63" s="117"/>
      <c r="I63" s="117"/>
      <c r="J63" s="117"/>
      <c r="K63" s="118"/>
    </row>
    <row r="64" spans="1:16" x14ac:dyDescent="0.3">
      <c r="B64" s="113"/>
      <c r="C64" s="113"/>
      <c r="D64" s="113"/>
      <c r="E64" s="113"/>
      <c r="F64" s="113"/>
      <c r="G64" s="113"/>
      <c r="H64" s="113"/>
      <c r="I64" s="113"/>
      <c r="J64" s="113"/>
      <c r="K64" s="1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98A2-81B6-4E12-85DA-626DD829337C}">
  <dimension ref="A1:S65"/>
  <sheetViews>
    <sheetView zoomScale="118" zoomScaleNormal="118" workbookViewId="0">
      <selection sqref="A1:XFD1048576"/>
    </sheetView>
  </sheetViews>
  <sheetFormatPr defaultColWidth="9.109375" defaultRowHeight="10.199999999999999" x14ac:dyDescent="0.2"/>
  <cols>
    <col min="1" max="1" width="33.44140625" style="131" bestFit="1" customWidth="1"/>
    <col min="2" max="4" width="11.6640625" style="182" hidden="1" customWidth="1"/>
    <col min="5" max="10" width="15.88671875" style="182" hidden="1" customWidth="1"/>
    <col min="11" max="13" width="15.88671875" style="182" customWidth="1"/>
    <col min="14" max="14" width="17.44140625" style="183" customWidth="1"/>
    <col min="15" max="15" width="12.77734375" style="131" customWidth="1"/>
    <col min="16" max="16" width="19" style="131" customWidth="1"/>
    <col min="17" max="17" width="9.109375" style="131"/>
    <col min="18" max="18" width="18.5546875" style="182" hidden="1" customWidth="1"/>
    <col min="19" max="19" width="19.5546875" style="182" hidden="1" customWidth="1"/>
    <col min="20" max="16384" width="9.109375" style="131"/>
  </cols>
  <sheetData>
    <row r="1" spans="1:19" ht="29.25" customHeight="1" x14ac:dyDescent="0.2">
      <c r="A1" s="129" t="s">
        <v>82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R1" s="130"/>
      <c r="S1" s="130"/>
    </row>
    <row r="2" spans="1:19" ht="36" customHeight="1" x14ac:dyDescent="0.2">
      <c r="A2" s="132" t="s">
        <v>0</v>
      </c>
      <c r="B2" s="133" t="s">
        <v>77</v>
      </c>
      <c r="C2" s="133" t="s">
        <v>76</v>
      </c>
      <c r="D2" s="133" t="s">
        <v>75</v>
      </c>
      <c r="E2" s="133" t="s">
        <v>79</v>
      </c>
      <c r="F2" s="133" t="s">
        <v>80</v>
      </c>
      <c r="G2" s="133" t="s">
        <v>81</v>
      </c>
      <c r="H2" s="133" t="s">
        <v>83</v>
      </c>
      <c r="I2" s="133" t="s">
        <v>84</v>
      </c>
      <c r="J2" s="133" t="s">
        <v>85</v>
      </c>
      <c r="K2" s="133" t="s">
        <v>86</v>
      </c>
      <c r="L2" s="133" t="s">
        <v>87</v>
      </c>
      <c r="M2" s="133" t="s">
        <v>88</v>
      </c>
      <c r="N2" s="134" t="s">
        <v>65</v>
      </c>
      <c r="R2" s="131"/>
      <c r="S2" s="131"/>
    </row>
    <row r="3" spans="1:19" x14ac:dyDescent="0.2">
      <c r="A3" s="135" t="s">
        <v>54</v>
      </c>
      <c r="B3" s="136">
        <v>104790230.41</v>
      </c>
      <c r="C3" s="136">
        <f t="shared" ref="C3:H3" si="0">B53</f>
        <v>213097127.67999998</v>
      </c>
      <c r="D3" s="136">
        <f t="shared" si="0"/>
        <v>209666019.34999996</v>
      </c>
      <c r="E3" s="136">
        <f t="shared" si="0"/>
        <v>227148926.78999996</v>
      </c>
      <c r="F3" s="136">
        <f t="shared" si="0"/>
        <v>144367963.65999997</v>
      </c>
      <c r="G3" s="136">
        <f t="shared" si="0"/>
        <v>137176261.86999995</v>
      </c>
      <c r="H3" s="136">
        <f t="shared" si="0"/>
        <v>214142243.52999997</v>
      </c>
      <c r="I3" s="136">
        <f>H53</f>
        <v>142919987.81999993</v>
      </c>
      <c r="J3" s="136">
        <f>I53</f>
        <v>99217466.389999911</v>
      </c>
      <c r="K3" s="136">
        <f>J53</f>
        <v>199292231.67999992</v>
      </c>
      <c r="L3" s="136">
        <f>K53</f>
        <v>201082347.33999991</v>
      </c>
      <c r="M3" s="136">
        <f>L53</f>
        <v>131907332.96999988</v>
      </c>
      <c r="N3" s="137">
        <f>B3+C3+D3</f>
        <v>527553377.43999994</v>
      </c>
      <c r="R3" s="138" t="e">
        <f>#REF!+#REF!+#REF!+#REF!+#REF!+N3+#REF!+#REF!+#REF!+O3+P3+Q3</f>
        <v>#REF!</v>
      </c>
      <c r="S3" s="139"/>
    </row>
    <row r="4" spans="1:19" x14ac:dyDescent="0.2">
      <c r="A4" s="140" t="s">
        <v>64</v>
      </c>
      <c r="B4" s="141"/>
      <c r="C4" s="141"/>
      <c r="D4" s="141"/>
      <c r="E4" s="141"/>
      <c r="F4" s="141"/>
      <c r="G4" s="141">
        <v>0</v>
      </c>
      <c r="H4" s="141"/>
      <c r="I4" s="141"/>
      <c r="J4" s="141"/>
      <c r="K4" s="141">
        <v>0</v>
      </c>
      <c r="L4" s="141">
        <v>0</v>
      </c>
      <c r="M4" s="141">
        <v>50000000</v>
      </c>
      <c r="N4" s="137">
        <f>B4+C4+D4+E4+F4+G4+H4+I4+J4+K4+L4+M4</f>
        <v>50000000</v>
      </c>
      <c r="R4" s="142">
        <v>50000000</v>
      </c>
      <c r="S4" s="143"/>
    </row>
    <row r="5" spans="1:19" x14ac:dyDescent="0.2">
      <c r="A5" s="140" t="s">
        <v>46</v>
      </c>
      <c r="B5" s="141">
        <v>180254000</v>
      </c>
      <c r="C5" s="141">
        <v>0</v>
      </c>
      <c r="D5" s="141">
        <v>0</v>
      </c>
      <c r="E5" s="141">
        <v>0</v>
      </c>
      <c r="F5" s="141"/>
      <c r="G5" s="141">
        <v>143046393.66999999</v>
      </c>
      <c r="H5" s="141">
        <v>0</v>
      </c>
      <c r="I5" s="141">
        <v>0</v>
      </c>
      <c r="J5" s="141">
        <v>106858000</v>
      </c>
      <c r="K5" s="141">
        <v>0</v>
      </c>
      <c r="L5" s="141">
        <v>0</v>
      </c>
      <c r="M5" s="141">
        <v>0</v>
      </c>
      <c r="N5" s="137">
        <f t="shared" ref="N5:N15" si="1">B5+C5+D5+E5+F5+G5+H5+I5+J5+K5+L5+M5</f>
        <v>430158393.66999996</v>
      </c>
      <c r="R5" s="142">
        <v>383693000</v>
      </c>
      <c r="S5" s="143"/>
    </row>
    <row r="6" spans="1:19" x14ac:dyDescent="0.2">
      <c r="A6" s="140" t="s">
        <v>43</v>
      </c>
      <c r="B6" s="141">
        <v>48617000</v>
      </c>
      <c r="C6" s="141"/>
      <c r="D6" s="141">
        <v>26060000</v>
      </c>
      <c r="E6" s="141">
        <v>0</v>
      </c>
      <c r="F6" s="141">
        <v>0</v>
      </c>
      <c r="G6" s="141">
        <v>21717000</v>
      </c>
      <c r="H6" s="141">
        <v>0</v>
      </c>
      <c r="I6" s="141">
        <v>0</v>
      </c>
      <c r="J6" s="141">
        <f>3347000+62000000</f>
        <v>65347000</v>
      </c>
      <c r="K6" s="141">
        <v>0</v>
      </c>
      <c r="L6" s="141">
        <v>0</v>
      </c>
      <c r="M6" s="141">
        <v>0</v>
      </c>
      <c r="N6" s="137">
        <f t="shared" si="1"/>
        <v>161741000</v>
      </c>
      <c r="R6" s="142">
        <v>94263000</v>
      </c>
      <c r="S6" s="143"/>
    </row>
    <row r="7" spans="1:19" x14ac:dyDescent="0.2">
      <c r="A7" s="140" t="s">
        <v>44</v>
      </c>
      <c r="B7" s="141">
        <v>6000000</v>
      </c>
      <c r="C7" s="141">
        <v>0</v>
      </c>
      <c r="D7" s="141">
        <v>0</v>
      </c>
      <c r="E7" s="141">
        <v>0</v>
      </c>
      <c r="F7" s="141">
        <v>0</v>
      </c>
      <c r="G7" s="141">
        <v>10020000</v>
      </c>
      <c r="H7" s="141">
        <v>0</v>
      </c>
      <c r="I7" s="141">
        <v>0</v>
      </c>
      <c r="J7" s="141">
        <v>1300000</v>
      </c>
      <c r="K7" s="141">
        <v>0</v>
      </c>
      <c r="L7" s="141">
        <v>0</v>
      </c>
      <c r="M7" s="141">
        <v>0</v>
      </c>
      <c r="N7" s="137">
        <f t="shared" si="1"/>
        <v>17320000</v>
      </c>
      <c r="R7" s="142">
        <v>20000000</v>
      </c>
      <c r="S7" s="143"/>
    </row>
    <row r="8" spans="1:19" x14ac:dyDescent="0.2">
      <c r="A8" s="140" t="s">
        <v>51</v>
      </c>
      <c r="B8" s="141">
        <v>0</v>
      </c>
      <c r="C8" s="141">
        <v>2000000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37">
        <f t="shared" si="1"/>
        <v>2000000</v>
      </c>
      <c r="R8" s="142">
        <v>2145000</v>
      </c>
      <c r="S8" s="143"/>
    </row>
    <row r="9" spans="1:19" x14ac:dyDescent="0.2">
      <c r="A9" s="140" t="s">
        <v>45</v>
      </c>
      <c r="B9" s="141">
        <v>0</v>
      </c>
      <c r="C9" s="141">
        <v>2116000</v>
      </c>
      <c r="D9" s="141">
        <v>0</v>
      </c>
      <c r="E9" s="141">
        <v>0</v>
      </c>
      <c r="F9" s="141">
        <v>3808000</v>
      </c>
      <c r="G9" s="141">
        <v>0</v>
      </c>
      <c r="H9" s="141"/>
      <c r="I9" s="141"/>
      <c r="J9" s="141">
        <v>2539000</v>
      </c>
      <c r="K9" s="141">
        <v>0</v>
      </c>
      <c r="L9" s="141">
        <v>0</v>
      </c>
      <c r="M9" s="141">
        <v>0</v>
      </c>
      <c r="N9" s="137">
        <f t="shared" si="1"/>
        <v>8463000</v>
      </c>
      <c r="R9" s="142">
        <v>5749000</v>
      </c>
      <c r="S9" s="143"/>
    </row>
    <row r="10" spans="1:19" x14ac:dyDescent="0.2">
      <c r="A10" s="140" t="s">
        <v>66</v>
      </c>
      <c r="B10" s="141">
        <v>0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37">
        <f t="shared" si="1"/>
        <v>0</v>
      </c>
      <c r="R10" s="142">
        <v>19947068</v>
      </c>
      <c r="S10" s="143"/>
    </row>
    <row r="11" spans="1:19" x14ac:dyDescent="0.2">
      <c r="A11" s="140" t="s">
        <v>67</v>
      </c>
      <c r="B11" s="141">
        <v>0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37">
        <f t="shared" si="1"/>
        <v>0</v>
      </c>
      <c r="R11" s="142"/>
      <c r="S11" s="143"/>
    </row>
    <row r="12" spans="1:19" x14ac:dyDescent="0.2">
      <c r="A12" s="140" t="s">
        <v>1</v>
      </c>
      <c r="B12" s="141">
        <v>53445319.530000001</v>
      </c>
      <c r="C12" s="141">
        <v>61745227.479999997</v>
      </c>
      <c r="D12" s="141">
        <v>82834147.040000007</v>
      </c>
      <c r="E12" s="141">
        <v>64052653.329999998</v>
      </c>
      <c r="F12" s="141">
        <v>70224271.939999998</v>
      </c>
      <c r="G12" s="141">
        <v>55717412</v>
      </c>
      <c r="H12" s="141">
        <v>53123602.93</v>
      </c>
      <c r="I12" s="141">
        <v>56352099.399999999</v>
      </c>
      <c r="J12" s="141">
        <v>65739910.689999998</v>
      </c>
      <c r="K12" s="141">
        <v>51886786.869999997</v>
      </c>
      <c r="L12" s="141">
        <v>58923800</v>
      </c>
      <c r="M12" s="141">
        <v>96552134.439999998</v>
      </c>
      <c r="N12" s="137">
        <f t="shared" si="1"/>
        <v>770597365.64999986</v>
      </c>
      <c r="R12" s="131"/>
      <c r="S12" s="131"/>
    </row>
    <row r="13" spans="1:19" x14ac:dyDescent="0.2">
      <c r="A13" s="144" t="s">
        <v>38</v>
      </c>
      <c r="B13" s="141">
        <f>1540766.74+4584179.24</f>
        <v>6124945.9800000004</v>
      </c>
      <c r="C13" s="141">
        <v>13299899</v>
      </c>
      <c r="D13" s="141">
        <v>0</v>
      </c>
      <c r="E13" s="141">
        <v>0</v>
      </c>
      <c r="F13" s="141">
        <v>0</v>
      </c>
      <c r="G13" s="141">
        <v>0</v>
      </c>
      <c r="H13" s="141">
        <v>7582442.1299999999</v>
      </c>
      <c r="I13" s="141">
        <v>5936718.5099999998</v>
      </c>
      <c r="J13" s="141">
        <v>2498604.71</v>
      </c>
      <c r="K13" s="141">
        <v>4023795.24</v>
      </c>
      <c r="L13" s="141">
        <v>0</v>
      </c>
      <c r="M13" s="141">
        <v>3847197.96</v>
      </c>
      <c r="N13" s="137">
        <f t="shared" si="1"/>
        <v>43313603.530000001</v>
      </c>
      <c r="R13" s="131"/>
      <c r="S13" s="131"/>
    </row>
    <row r="14" spans="1:19" x14ac:dyDescent="0.2">
      <c r="A14" s="145" t="s">
        <v>12</v>
      </c>
      <c r="B14" s="146">
        <v>5655210</v>
      </c>
      <c r="C14" s="146">
        <v>6926830.4500000002</v>
      </c>
      <c r="D14" s="146">
        <v>6215980.2800000003</v>
      </c>
      <c r="E14" s="146">
        <v>8081803.4500000002</v>
      </c>
      <c r="F14" s="146">
        <v>7374645</v>
      </c>
      <c r="G14" s="146">
        <v>6378501.1500000004</v>
      </c>
      <c r="H14" s="146">
        <v>5547806.54</v>
      </c>
      <c r="I14" s="146">
        <v>6488065.4800000004</v>
      </c>
      <c r="J14" s="146">
        <v>5748961.4199999999</v>
      </c>
      <c r="K14" s="146">
        <v>3066802.64</v>
      </c>
      <c r="L14" s="146">
        <v>3993270.04</v>
      </c>
      <c r="M14" s="146">
        <v>3933859.1</v>
      </c>
      <c r="N14" s="137">
        <f t="shared" si="1"/>
        <v>69411735.549999997</v>
      </c>
      <c r="R14" s="131"/>
      <c r="S14" s="131"/>
    </row>
    <row r="15" spans="1:19" x14ac:dyDescent="0.2">
      <c r="A15" s="145" t="s">
        <v>8</v>
      </c>
      <c r="B15" s="146"/>
      <c r="C15" s="146"/>
      <c r="D15" s="146"/>
      <c r="E15" s="146">
        <v>9365341.0600000005</v>
      </c>
      <c r="F15" s="146">
        <v>5641105.9199999999</v>
      </c>
      <c r="G15" s="146">
        <v>5848489.8200000003</v>
      </c>
      <c r="H15" s="146">
        <v>7057057.2800000003</v>
      </c>
      <c r="I15" s="146">
        <v>8195478.4699999997</v>
      </c>
      <c r="J15" s="146">
        <v>9502303.0199999996</v>
      </c>
      <c r="K15" s="146">
        <v>5229690.84</v>
      </c>
      <c r="L15" s="146">
        <v>7273725.8700000001</v>
      </c>
      <c r="M15" s="146">
        <v>7109223.7800000003</v>
      </c>
      <c r="N15" s="137">
        <f t="shared" si="1"/>
        <v>65222416.06000001</v>
      </c>
      <c r="R15" s="131"/>
      <c r="S15" s="131"/>
    </row>
    <row r="16" spans="1:19" x14ac:dyDescent="0.2">
      <c r="A16" s="147" t="s">
        <v>22</v>
      </c>
      <c r="B16" s="148">
        <f>SUM(B3:B15)</f>
        <v>404886705.91999996</v>
      </c>
      <c r="C16" s="148">
        <f t="shared" ref="C16:M16" si="2">SUM(C3:C15)</f>
        <v>299185084.60999995</v>
      </c>
      <c r="D16" s="148">
        <f t="shared" si="2"/>
        <v>324776146.66999996</v>
      </c>
      <c r="E16" s="148">
        <f t="shared" si="2"/>
        <v>308648724.62999994</v>
      </c>
      <c r="F16" s="148">
        <f t="shared" si="2"/>
        <v>231415986.51999995</v>
      </c>
      <c r="G16" s="148">
        <f t="shared" si="2"/>
        <v>379904058.50999993</v>
      </c>
      <c r="H16" s="148">
        <f t="shared" si="2"/>
        <v>287453152.40999997</v>
      </c>
      <c r="I16" s="148">
        <f t="shared" si="2"/>
        <v>219892349.67999992</v>
      </c>
      <c r="J16" s="148">
        <f t="shared" si="2"/>
        <v>358751246.2299999</v>
      </c>
      <c r="K16" s="148">
        <f t="shared" si="2"/>
        <v>263499307.26999992</v>
      </c>
      <c r="L16" s="148">
        <f t="shared" si="2"/>
        <v>271273143.24999988</v>
      </c>
      <c r="M16" s="148">
        <f t="shared" si="2"/>
        <v>293349748.24999982</v>
      </c>
      <c r="N16" s="148">
        <f t="shared" ref="N16" si="3">SUM(N3:N15)</f>
        <v>2145780891.8999996</v>
      </c>
      <c r="R16" s="148" t="e">
        <f>SUM(R3:R10)</f>
        <v>#REF!</v>
      </c>
      <c r="S16" s="149"/>
    </row>
    <row r="17" spans="1:19" x14ac:dyDescent="0.2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50"/>
      <c r="R17" s="146"/>
      <c r="S17" s="151"/>
    </row>
    <row r="18" spans="1:19" x14ac:dyDescent="0.2">
      <c r="A18" s="152" t="s">
        <v>2</v>
      </c>
      <c r="B18" s="133" t="s">
        <v>77</v>
      </c>
      <c r="C18" s="133" t="s">
        <v>76</v>
      </c>
      <c r="D18" s="133" t="s">
        <v>75</v>
      </c>
      <c r="E18" s="133" t="s">
        <v>79</v>
      </c>
      <c r="F18" s="133" t="s">
        <v>80</v>
      </c>
      <c r="G18" s="133" t="s">
        <v>81</v>
      </c>
      <c r="H18" s="133" t="s">
        <v>83</v>
      </c>
      <c r="I18" s="133" t="s">
        <v>84</v>
      </c>
      <c r="J18" s="133" t="s">
        <v>85</v>
      </c>
      <c r="K18" s="133"/>
      <c r="L18" s="133"/>
      <c r="M18" s="133"/>
      <c r="N18" s="134" t="s">
        <v>65</v>
      </c>
      <c r="R18" s="134"/>
      <c r="S18" s="153"/>
    </row>
    <row r="19" spans="1:19" x14ac:dyDescent="0.2">
      <c r="A19" s="154" t="s">
        <v>68</v>
      </c>
      <c r="B19" s="155"/>
      <c r="C19" s="155">
        <v>0</v>
      </c>
      <c r="D19" s="155">
        <v>0</v>
      </c>
      <c r="E19" s="155"/>
      <c r="F19" s="155"/>
      <c r="G19" s="155"/>
      <c r="H19" s="155"/>
      <c r="I19" s="155"/>
      <c r="J19" s="155"/>
      <c r="K19" s="155">
        <v>0</v>
      </c>
      <c r="L19" s="155">
        <v>0</v>
      </c>
      <c r="M19" s="155">
        <v>0</v>
      </c>
      <c r="N19" s="137">
        <f>B19+C19+D19+E19+F19+G19</f>
        <v>0</v>
      </c>
      <c r="R19" s="156">
        <v>65000000</v>
      </c>
      <c r="S19" s="157"/>
    </row>
    <row r="20" spans="1:19" x14ac:dyDescent="0.2">
      <c r="A20" s="154" t="s">
        <v>13</v>
      </c>
      <c r="B20" s="158">
        <v>17115008.66</v>
      </c>
      <c r="C20" s="158">
        <v>16867479.440000001</v>
      </c>
      <c r="D20" s="158">
        <v>17964537.859999999</v>
      </c>
      <c r="E20" s="159">
        <v>19396755.719999999</v>
      </c>
      <c r="F20" s="158">
        <v>18426957.440000001</v>
      </c>
      <c r="G20" s="158">
        <v>18461317.100000001</v>
      </c>
      <c r="H20" s="158">
        <v>17264527.719999999</v>
      </c>
      <c r="I20" s="158">
        <v>17218146.289999999</v>
      </c>
      <c r="J20" s="158">
        <v>17972924.859999999</v>
      </c>
      <c r="K20" s="158">
        <f>14147923.05+1517696.89+2192418.3</f>
        <v>17858038.240000002</v>
      </c>
      <c r="L20" s="158">
        <f>17582134.33+1324758.6+494130</f>
        <v>19401022.93</v>
      </c>
      <c r="M20" s="158">
        <f>17776118.78+280696.7</f>
        <v>18056815.48</v>
      </c>
      <c r="N20" s="137">
        <f>B20+C20+D20+E20+F20+G20+H20+I20+J20+K20+L20+M20</f>
        <v>216003531.73999998</v>
      </c>
      <c r="O20" s="160"/>
      <c r="R20" s="161">
        <v>287017686</v>
      </c>
      <c r="S20" s="162">
        <v>343017085</v>
      </c>
    </row>
    <row r="21" spans="1:19" x14ac:dyDescent="0.2">
      <c r="A21" s="154" t="s">
        <v>25</v>
      </c>
      <c r="B21" s="155">
        <v>494625</v>
      </c>
      <c r="C21" s="155">
        <v>493125</v>
      </c>
      <c r="D21" s="155">
        <v>475875</v>
      </c>
      <c r="E21" s="155">
        <v>512250</v>
      </c>
      <c r="F21" s="155">
        <v>473625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496485</v>
      </c>
      <c r="M21" s="155">
        <v>494130</v>
      </c>
      <c r="N21" s="137">
        <f t="shared" ref="N21:N51" si="4">B21+C21+D21+E21+F21+G21+H21+I21+J21+K21+L21+M21</f>
        <v>3440115</v>
      </c>
      <c r="R21" s="161">
        <v>10276953</v>
      </c>
      <c r="S21" s="162"/>
    </row>
    <row r="22" spans="1:19" hidden="1" x14ac:dyDescent="0.2">
      <c r="A22" s="154" t="s">
        <v>24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37">
        <f t="shared" si="4"/>
        <v>0</v>
      </c>
      <c r="R22" s="161"/>
      <c r="S22" s="162"/>
    </row>
    <row r="23" spans="1:19" x14ac:dyDescent="0.2">
      <c r="A23" s="154" t="s">
        <v>3</v>
      </c>
      <c r="B23" s="158"/>
      <c r="C23" s="158"/>
      <c r="D23" s="158"/>
      <c r="E23" s="158"/>
      <c r="F23" s="158"/>
      <c r="G23" s="158"/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37">
        <f t="shared" si="4"/>
        <v>0</v>
      </c>
      <c r="O23" s="160"/>
      <c r="R23" s="161">
        <v>24735201</v>
      </c>
      <c r="S23" s="162"/>
    </row>
    <row r="24" spans="1:19" x14ac:dyDescent="0.2">
      <c r="A24" s="154" t="s">
        <v>74</v>
      </c>
      <c r="B24" s="155">
        <v>38478039</v>
      </c>
      <c r="C24" s="155">
        <v>3569127</v>
      </c>
      <c r="D24" s="155">
        <v>7113596</v>
      </c>
      <c r="E24" s="155">
        <v>57353506</v>
      </c>
      <c r="F24" s="155">
        <v>4292567</v>
      </c>
      <c r="G24" s="155">
        <v>18361032</v>
      </c>
      <c r="H24" s="155">
        <v>11825846</v>
      </c>
      <c r="I24" s="155">
        <v>9251623</v>
      </c>
      <c r="J24" s="155">
        <v>16275632</v>
      </c>
      <c r="K24" s="155">
        <v>2578323</v>
      </c>
      <c r="L24" s="155">
        <v>7061349</v>
      </c>
      <c r="M24" s="155">
        <v>1050111</v>
      </c>
      <c r="N24" s="137">
        <f t="shared" si="4"/>
        <v>177210751</v>
      </c>
      <c r="R24" s="161"/>
      <c r="S24" s="162"/>
    </row>
    <row r="25" spans="1:19" x14ac:dyDescent="0.2">
      <c r="A25" s="154" t="s">
        <v>73</v>
      </c>
      <c r="B25" s="155">
        <f>6898629.27+5605096.48</f>
        <v>12503725.75</v>
      </c>
      <c r="C25" s="155">
        <f>5738102.41+6891616.32</f>
        <v>12629718.73</v>
      </c>
      <c r="D25" s="155">
        <f>6375462.05+6878915.66</f>
        <v>13254377.710000001</v>
      </c>
      <c r="E25" s="155">
        <f>7308207.36+7563264.88</f>
        <v>14871472.24</v>
      </c>
      <c r="F25" s="155">
        <f>6942188.91+7103693.67</f>
        <v>14045882.58</v>
      </c>
      <c r="G25" s="155">
        <f>7075110.42+6883174.86</f>
        <v>13958285.280000001</v>
      </c>
      <c r="H25" s="155">
        <f>6439529.75+7057052.5</f>
        <v>13496582.25</v>
      </c>
      <c r="I25" s="155">
        <f>6407677.15+7025048.24</f>
        <v>13432725.390000001</v>
      </c>
      <c r="J25" s="155">
        <f>6799258.43+7253426.23</f>
        <v>14052684.66</v>
      </c>
      <c r="K25" s="155">
        <f>7020067.71+6026105.52</f>
        <v>13046173.23</v>
      </c>
      <c r="L25" s="155">
        <f>6571451.65+6948668.83</f>
        <v>13520120.48</v>
      </c>
      <c r="M25" s="155">
        <f>7225075.32+5900320.22</f>
        <v>13125395.539999999</v>
      </c>
      <c r="N25" s="137">
        <f t="shared" si="4"/>
        <v>161937143.83999997</v>
      </c>
      <c r="R25" s="161">
        <f>2128395.62+6720624.25+6697803.45</f>
        <v>15546823.32</v>
      </c>
      <c r="S25" s="162"/>
    </row>
    <row r="26" spans="1:19" x14ac:dyDescent="0.2">
      <c r="A26" s="154" t="s">
        <v>72</v>
      </c>
      <c r="B26" s="141">
        <v>2360089.52</v>
      </c>
      <c r="C26" s="141">
        <v>2203660.21</v>
      </c>
      <c r="D26" s="141">
        <v>2385586.33</v>
      </c>
      <c r="E26" s="141">
        <f>687041+202883.6+180367.2+1009339+170473.01+155506</f>
        <v>2405609.81</v>
      </c>
      <c r="F26" s="141">
        <v>2204752.77</v>
      </c>
      <c r="G26" s="141">
        <v>2409221.5099999998</v>
      </c>
      <c r="H26" s="141">
        <v>2363032.4700000002</v>
      </c>
      <c r="I26" s="141">
        <v>2346574.35</v>
      </c>
      <c r="J26" s="141">
        <v>2376582.36</v>
      </c>
      <c r="K26" s="141">
        <v>2552793</v>
      </c>
      <c r="L26" s="141">
        <v>2545854.6</v>
      </c>
      <c r="M26" s="141">
        <v>2542933.3199999998</v>
      </c>
      <c r="N26" s="137">
        <f t="shared" si="4"/>
        <v>28696690.250000004</v>
      </c>
      <c r="R26" s="161"/>
      <c r="S26" s="162"/>
    </row>
    <row r="27" spans="1:19" ht="25.5" customHeight="1" x14ac:dyDescent="0.2">
      <c r="A27" s="154" t="s">
        <v>37</v>
      </c>
      <c r="B27" s="163">
        <f>1107700+220589.3</f>
        <v>1328289.3</v>
      </c>
      <c r="C27" s="163">
        <f>1107700+220589.3</f>
        <v>1328289.3</v>
      </c>
      <c r="D27" s="163">
        <f>1296000+220589.3</f>
        <v>1516589.3</v>
      </c>
      <c r="E27" s="163">
        <v>1516289</v>
      </c>
      <c r="F27" s="163">
        <v>1516289</v>
      </c>
      <c r="G27" s="163">
        <v>1516289</v>
      </c>
      <c r="H27" s="163">
        <f>1540080+43890.9+253677.7</f>
        <v>1837648.5999999999</v>
      </c>
      <c r="I27" s="163">
        <f>1540080+253677.7</f>
        <v>1793757.7</v>
      </c>
      <c r="J27" s="163">
        <f>1540080+43890.9+253677.7</f>
        <v>1837648.5999999999</v>
      </c>
      <c r="K27" s="163">
        <f>1802434.05+43890.9+253677.7</f>
        <v>2100002.65</v>
      </c>
      <c r="L27" s="163">
        <f>1802434.05+43890.9+253677.7</f>
        <v>2100002.65</v>
      </c>
      <c r="M27" s="163">
        <f>1972987.42+43890.9+253677.7</f>
        <v>2270556.02</v>
      </c>
      <c r="N27" s="137">
        <f t="shared" si="4"/>
        <v>20661651.119999997</v>
      </c>
      <c r="R27" s="161">
        <v>1191878.25</v>
      </c>
      <c r="S27" s="162"/>
    </row>
    <row r="28" spans="1:19" ht="14.1" customHeight="1" x14ac:dyDescent="0.2">
      <c r="A28" s="154" t="s">
        <v>9</v>
      </c>
      <c r="B28" s="141">
        <v>24395225.170000002</v>
      </c>
      <c r="C28" s="141">
        <v>7108677.9000000004</v>
      </c>
      <c r="D28" s="141">
        <v>11677603.800000001</v>
      </c>
      <c r="E28" s="141">
        <v>11720954.41</v>
      </c>
      <c r="F28" s="141">
        <v>7032206.5899999999</v>
      </c>
      <c r="G28" s="141">
        <v>4969769.9000000004</v>
      </c>
      <c r="H28" s="141">
        <v>0</v>
      </c>
      <c r="I28" s="141">
        <v>0</v>
      </c>
      <c r="J28" s="141">
        <v>0</v>
      </c>
      <c r="K28" s="141">
        <v>8938185</v>
      </c>
      <c r="L28" s="141">
        <v>16335148</v>
      </c>
      <c r="M28" s="141">
        <v>22765266</v>
      </c>
      <c r="N28" s="137">
        <f t="shared" si="4"/>
        <v>114943036.77000001</v>
      </c>
      <c r="R28" s="161">
        <v>78429307</v>
      </c>
      <c r="S28" s="162"/>
    </row>
    <row r="29" spans="1:19" ht="20.25" customHeight="1" x14ac:dyDescent="0.2">
      <c r="A29" s="164" t="s">
        <v>14</v>
      </c>
      <c r="B29" s="165">
        <v>0</v>
      </c>
      <c r="C29" s="165">
        <v>752565</v>
      </c>
      <c r="D29" s="165">
        <v>0</v>
      </c>
      <c r="E29" s="165">
        <v>892782</v>
      </c>
      <c r="F29" s="165">
        <v>627438.13</v>
      </c>
      <c r="G29" s="165">
        <v>818085.26</v>
      </c>
      <c r="H29" s="165">
        <v>0</v>
      </c>
      <c r="I29" s="165">
        <v>0</v>
      </c>
      <c r="J29" s="165">
        <v>1017047.1</v>
      </c>
      <c r="K29" s="165">
        <v>1465115.14</v>
      </c>
      <c r="L29" s="165">
        <v>1816168.38</v>
      </c>
      <c r="M29" s="165">
        <v>2738536.16</v>
      </c>
      <c r="N29" s="137">
        <f t="shared" si="4"/>
        <v>10127737.17</v>
      </c>
      <c r="R29" s="161">
        <v>12565505.029999999</v>
      </c>
      <c r="S29" s="162"/>
    </row>
    <row r="30" spans="1:19" ht="20.25" customHeight="1" x14ac:dyDescent="0.2">
      <c r="A30" s="164" t="s">
        <v>69</v>
      </c>
      <c r="B30" s="165">
        <v>0</v>
      </c>
      <c r="C30" s="165">
        <v>1225325</v>
      </c>
      <c r="D30" s="165">
        <v>2259263</v>
      </c>
      <c r="E30" s="165">
        <v>2597280</v>
      </c>
      <c r="F30" s="165">
        <v>0</v>
      </c>
      <c r="G30" s="165">
        <v>0</v>
      </c>
      <c r="H30" s="165">
        <f>401985+125235</f>
        <v>527220</v>
      </c>
      <c r="I30" s="165">
        <f>274464+221058</f>
        <v>495522</v>
      </c>
      <c r="J30" s="165">
        <f>370316</f>
        <v>370316</v>
      </c>
      <c r="K30" s="165">
        <v>357250</v>
      </c>
      <c r="L30" s="165">
        <v>1537253</v>
      </c>
      <c r="M30" s="165">
        <v>952637</v>
      </c>
      <c r="N30" s="137">
        <f t="shared" si="4"/>
        <v>10322066</v>
      </c>
      <c r="R30" s="161"/>
      <c r="S30" s="162"/>
    </row>
    <row r="31" spans="1:19" ht="20.399999999999999" customHeight="1" x14ac:dyDescent="0.2">
      <c r="A31" s="154" t="s">
        <v>27</v>
      </c>
      <c r="B31" s="166">
        <v>78322482</v>
      </c>
      <c r="C31" s="166">
        <v>26233914</v>
      </c>
      <c r="D31" s="166">
        <v>15000000</v>
      </c>
      <c r="E31" s="166">
        <v>30525495.32</v>
      </c>
      <c r="F31" s="166">
        <v>19384953.300000001</v>
      </c>
      <c r="G31" s="166">
        <v>81551205.219999999</v>
      </c>
      <c r="H31" s="166">
        <v>80048172.700000003</v>
      </c>
      <c r="I31" s="166">
        <v>60717923</v>
      </c>
      <c r="J31" s="166">
        <v>77690766</v>
      </c>
      <c r="K31" s="166">
        <v>905570</v>
      </c>
      <c r="L31" s="166">
        <v>53111974</v>
      </c>
      <c r="M31" s="166">
        <v>60666834.729999997</v>
      </c>
      <c r="N31" s="137">
        <f t="shared" si="4"/>
        <v>584159290.26999998</v>
      </c>
      <c r="P31" s="167"/>
      <c r="R31" s="168">
        <v>282222392</v>
      </c>
      <c r="S31" s="169"/>
    </row>
    <row r="32" spans="1:19" ht="15" customHeight="1" x14ac:dyDescent="0.2">
      <c r="A32" s="164" t="s">
        <v>15</v>
      </c>
      <c r="B32" s="165">
        <v>988629</v>
      </c>
      <c r="C32" s="165">
        <v>952372</v>
      </c>
      <c r="D32" s="165"/>
      <c r="E32" s="165">
        <v>975064.57</v>
      </c>
      <c r="F32" s="165">
        <v>987275</v>
      </c>
      <c r="G32" s="165">
        <v>1197275.67</v>
      </c>
      <c r="H32" s="165">
        <v>1033342.34</v>
      </c>
      <c r="I32" s="165">
        <v>1070958.29</v>
      </c>
      <c r="J32" s="165">
        <v>987918.29</v>
      </c>
      <c r="K32" s="165"/>
      <c r="L32" s="165"/>
      <c r="M32" s="165"/>
      <c r="N32" s="137">
        <f t="shared" si="4"/>
        <v>8192835.1600000001</v>
      </c>
      <c r="R32" s="161">
        <v>8773937</v>
      </c>
      <c r="S32" s="162"/>
    </row>
    <row r="33" spans="1:19" x14ac:dyDescent="0.2">
      <c r="A33" s="164" t="s">
        <v>29</v>
      </c>
      <c r="B33" s="141">
        <v>0</v>
      </c>
      <c r="C33" s="141">
        <v>565233</v>
      </c>
      <c r="D33" s="141">
        <v>2573629</v>
      </c>
      <c r="E33" s="141">
        <v>652728.6</v>
      </c>
      <c r="F33" s="141">
        <v>728750</v>
      </c>
      <c r="G33" s="141"/>
      <c r="H33" s="141"/>
      <c r="I33" s="141"/>
      <c r="J33" s="141">
        <v>2573162</v>
      </c>
      <c r="K33" s="141"/>
      <c r="L33" s="141"/>
      <c r="M33" s="141"/>
      <c r="N33" s="137">
        <f t="shared" si="4"/>
        <v>7093502.5999999996</v>
      </c>
      <c r="R33" s="161"/>
      <c r="S33" s="162"/>
    </row>
    <row r="34" spans="1:19" x14ac:dyDescent="0.2">
      <c r="A34" s="164" t="s">
        <v>16</v>
      </c>
      <c r="B34" s="141">
        <v>237152.74</v>
      </c>
      <c r="C34" s="141">
        <v>214360.44</v>
      </c>
      <c r="D34" s="141">
        <v>200405.07</v>
      </c>
      <c r="E34" s="141">
        <f>226872.56+44.39</f>
        <v>226916.95</v>
      </c>
      <c r="F34" s="141">
        <f>175899.52+48789.33</f>
        <v>224688.84999999998</v>
      </c>
      <c r="G34" s="141">
        <f>175899.52+28946.39+39.56</f>
        <v>204885.46999999997</v>
      </c>
      <c r="H34" s="141">
        <v>0</v>
      </c>
      <c r="I34" s="141">
        <v>0</v>
      </c>
      <c r="J34" s="141">
        <v>150407.17000000001</v>
      </c>
      <c r="K34" s="141">
        <v>301425</v>
      </c>
      <c r="L34" s="141">
        <v>320132</v>
      </c>
      <c r="M34" s="141">
        <v>555135</v>
      </c>
      <c r="N34" s="137">
        <f t="shared" si="4"/>
        <v>2635508.6899999995</v>
      </c>
      <c r="R34" s="161">
        <v>2079609</v>
      </c>
      <c r="S34" s="162"/>
    </row>
    <row r="35" spans="1:19" x14ac:dyDescent="0.2">
      <c r="A35" s="164" t="s">
        <v>18</v>
      </c>
      <c r="B35" s="165">
        <v>3589625</v>
      </c>
      <c r="C35" s="165">
        <v>283615</v>
      </c>
      <c r="D35" s="165">
        <v>2997045</v>
      </c>
      <c r="E35" s="165">
        <v>1576332.51</v>
      </c>
      <c r="F35" s="165">
        <v>4840053.96</v>
      </c>
      <c r="G35" s="165">
        <v>3582562.06</v>
      </c>
      <c r="H35" s="165">
        <v>2758232</v>
      </c>
      <c r="I35" s="165">
        <v>3519544</v>
      </c>
      <c r="J35" s="165">
        <v>5390165.0599999996</v>
      </c>
      <c r="K35" s="165">
        <v>1575253</v>
      </c>
      <c r="L35" s="165">
        <v>7574885</v>
      </c>
      <c r="M35" s="165">
        <v>4173022</v>
      </c>
      <c r="N35" s="137">
        <f t="shared" si="4"/>
        <v>41860334.589999996</v>
      </c>
      <c r="R35" s="161">
        <v>20233626</v>
      </c>
      <c r="S35" s="162"/>
    </row>
    <row r="36" spans="1:19" x14ac:dyDescent="0.2">
      <c r="A36" s="164" t="s">
        <v>31</v>
      </c>
      <c r="B36" s="163">
        <v>105019</v>
      </c>
      <c r="C36" s="163">
        <v>1252362</v>
      </c>
      <c r="D36" s="163">
        <v>0</v>
      </c>
      <c r="E36" s="163">
        <v>972550</v>
      </c>
      <c r="F36" s="163">
        <v>890272</v>
      </c>
      <c r="G36" s="163"/>
      <c r="H36" s="163">
        <v>505349.2</v>
      </c>
      <c r="I36" s="163">
        <v>516642.43</v>
      </c>
      <c r="J36" s="163">
        <v>716689.38</v>
      </c>
      <c r="K36" s="163">
        <v>683951.6</v>
      </c>
      <c r="L36" s="163">
        <v>557516.48</v>
      </c>
      <c r="M36" s="163">
        <v>567794.89</v>
      </c>
      <c r="N36" s="137">
        <f t="shared" si="4"/>
        <v>6768146.9799999995</v>
      </c>
      <c r="R36" s="161">
        <v>1871066</v>
      </c>
      <c r="S36" s="162"/>
    </row>
    <row r="37" spans="1:19" x14ac:dyDescent="0.2">
      <c r="A37" s="164" t="s">
        <v>19</v>
      </c>
      <c r="B37" s="165">
        <v>41214</v>
      </c>
      <c r="C37" s="165">
        <v>249323</v>
      </c>
      <c r="D37" s="165">
        <v>164313</v>
      </c>
      <c r="E37" s="165">
        <v>180352</v>
      </c>
      <c r="F37" s="165">
        <v>352760</v>
      </c>
      <c r="G37" s="165"/>
      <c r="H37" s="165">
        <v>1120253</v>
      </c>
      <c r="I37" s="165">
        <v>0</v>
      </c>
      <c r="J37" s="165">
        <v>872856</v>
      </c>
      <c r="K37" s="165">
        <v>257265</v>
      </c>
      <c r="L37" s="165">
        <v>0</v>
      </c>
      <c r="M37" s="165">
        <f>940158.8+423192</f>
        <v>1363350.8</v>
      </c>
      <c r="N37" s="137">
        <f t="shared" si="4"/>
        <v>4601686.8</v>
      </c>
      <c r="R37" s="161">
        <v>19670548</v>
      </c>
      <c r="S37" s="162"/>
    </row>
    <row r="38" spans="1:19" x14ac:dyDescent="0.2">
      <c r="A38" s="164" t="s">
        <v>30</v>
      </c>
      <c r="B38" s="165">
        <v>218865</v>
      </c>
      <c r="C38" s="165">
        <v>147463</v>
      </c>
      <c r="D38" s="165">
        <v>139188</v>
      </c>
      <c r="E38" s="165">
        <v>140275</v>
      </c>
      <c r="F38" s="165">
        <v>141327</v>
      </c>
      <c r="G38" s="165"/>
      <c r="H38" s="165">
        <v>7745</v>
      </c>
      <c r="I38" s="165">
        <v>8490</v>
      </c>
      <c r="J38" s="165">
        <v>8456</v>
      </c>
      <c r="K38" s="165">
        <v>8475.16</v>
      </c>
      <c r="L38" s="165">
        <v>8394.64</v>
      </c>
      <c r="M38" s="165">
        <v>8396.81</v>
      </c>
      <c r="N38" s="137">
        <f t="shared" si="4"/>
        <v>837075.6100000001</v>
      </c>
      <c r="R38" s="161">
        <v>2015763</v>
      </c>
      <c r="S38" s="162"/>
    </row>
    <row r="39" spans="1:19" x14ac:dyDescent="0.2">
      <c r="A39" s="164" t="s">
        <v>20</v>
      </c>
      <c r="B39" s="163">
        <v>252758</v>
      </c>
      <c r="C39" s="163"/>
      <c r="D39" s="163"/>
      <c r="E39" s="163">
        <v>50772</v>
      </c>
      <c r="F39" s="163">
        <v>120772</v>
      </c>
      <c r="G39" s="163">
        <v>72117</v>
      </c>
      <c r="H39" s="163">
        <v>115272</v>
      </c>
      <c r="I39" s="163">
        <v>185230</v>
      </c>
      <c r="J39" s="163">
        <v>175116</v>
      </c>
      <c r="K39" s="163">
        <v>135278</v>
      </c>
      <c r="L39" s="163">
        <v>225352</v>
      </c>
      <c r="M39" s="163">
        <v>195237</v>
      </c>
      <c r="N39" s="137">
        <f t="shared" si="4"/>
        <v>1527904</v>
      </c>
      <c r="R39" s="161">
        <v>8133204</v>
      </c>
      <c r="S39" s="162"/>
    </row>
    <row r="40" spans="1:19" x14ac:dyDescent="0.2">
      <c r="A40" s="154" t="s">
        <v>40</v>
      </c>
      <c r="B40" s="141">
        <v>2278158</v>
      </c>
      <c r="C40" s="141">
        <v>1270892</v>
      </c>
      <c r="D40" s="141">
        <v>988623</v>
      </c>
      <c r="E40" s="141">
        <v>1278250</v>
      </c>
      <c r="F40" s="141">
        <v>850273</v>
      </c>
      <c r="G40" s="141">
        <v>895265</v>
      </c>
      <c r="H40" s="141">
        <v>962530</v>
      </c>
      <c r="I40" s="141">
        <v>1162650</v>
      </c>
      <c r="J40" s="141">
        <v>1727325</v>
      </c>
      <c r="K40" s="141">
        <v>0</v>
      </c>
      <c r="L40" s="141">
        <v>0</v>
      </c>
      <c r="M40" s="141">
        <v>0</v>
      </c>
      <c r="N40" s="137">
        <f t="shared" si="4"/>
        <v>11413966</v>
      </c>
      <c r="R40" s="161">
        <v>23354257.530000001</v>
      </c>
      <c r="S40" s="162"/>
    </row>
    <row r="41" spans="1:19" x14ac:dyDescent="0.2">
      <c r="A41" s="164" t="s">
        <v>17</v>
      </c>
      <c r="B41" s="165">
        <v>86821</v>
      </c>
      <c r="C41" s="165">
        <f>526967-C21</f>
        <v>33842</v>
      </c>
      <c r="D41" s="165">
        <v>162653</v>
      </c>
      <c r="E41" s="165">
        <v>192072</v>
      </c>
      <c r="F41" s="165">
        <v>172278</v>
      </c>
      <c r="G41" s="165">
        <v>98250</v>
      </c>
      <c r="H41" s="165">
        <v>101250</v>
      </c>
      <c r="I41" s="165">
        <v>82520.320000000007</v>
      </c>
      <c r="J41" s="165">
        <v>75325</v>
      </c>
      <c r="K41" s="165">
        <v>75265</v>
      </c>
      <c r="L41" s="165">
        <v>88520</v>
      </c>
      <c r="M41" s="165">
        <v>96257</v>
      </c>
      <c r="N41" s="137">
        <f t="shared" si="4"/>
        <v>1265053.32</v>
      </c>
      <c r="R41" s="170">
        <v>365467</v>
      </c>
      <c r="S41" s="162"/>
    </row>
    <row r="42" spans="1:19" x14ac:dyDescent="0.2">
      <c r="A42" s="154" t="s">
        <v>28</v>
      </c>
      <c r="B42" s="141">
        <v>319651.19</v>
      </c>
      <c r="C42" s="141">
        <v>319651.19</v>
      </c>
      <c r="D42" s="141">
        <v>4478882.84</v>
      </c>
      <c r="E42" s="141">
        <v>2128182.7000000002</v>
      </c>
      <c r="F42" s="141">
        <v>2114038.5</v>
      </c>
      <c r="G42" s="141">
        <v>4478882.84</v>
      </c>
      <c r="H42" s="141">
        <v>319651.19</v>
      </c>
      <c r="I42" s="141">
        <v>319651.19</v>
      </c>
      <c r="J42" s="141">
        <v>4478883</v>
      </c>
      <c r="K42" s="141">
        <v>2128182.7000000002</v>
      </c>
      <c r="L42" s="141">
        <v>2214038.5</v>
      </c>
      <c r="M42" s="141">
        <v>4478882.84</v>
      </c>
      <c r="N42" s="137">
        <f t="shared" si="4"/>
        <v>27778578.68</v>
      </c>
      <c r="O42" s="171"/>
      <c r="R42" s="172">
        <v>31058550</v>
      </c>
      <c r="S42" s="173">
        <v>24448557</v>
      </c>
    </row>
    <row r="43" spans="1:19" hidden="1" x14ac:dyDescent="0.2">
      <c r="A43" s="154" t="s">
        <v>4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37">
        <f t="shared" si="4"/>
        <v>0</v>
      </c>
      <c r="R43" s="174"/>
      <c r="S43" s="162"/>
    </row>
    <row r="44" spans="1:19" x14ac:dyDescent="0.2">
      <c r="A44" s="154" t="s">
        <v>71</v>
      </c>
      <c r="B44" s="165">
        <v>0</v>
      </c>
      <c r="C44" s="165">
        <v>2140</v>
      </c>
      <c r="D44" s="165">
        <v>23996.38</v>
      </c>
      <c r="E44" s="165">
        <v>0</v>
      </c>
      <c r="F44" s="165">
        <v>2455192.7599999998</v>
      </c>
      <c r="G44" s="165">
        <v>0</v>
      </c>
      <c r="H44" s="165">
        <v>0</v>
      </c>
      <c r="I44" s="165">
        <v>0</v>
      </c>
      <c r="J44" s="165">
        <v>0</v>
      </c>
      <c r="K44" s="165">
        <v>12680.36</v>
      </c>
      <c r="L44" s="165">
        <v>0</v>
      </c>
      <c r="M44" s="165">
        <v>12366.64</v>
      </c>
      <c r="N44" s="137">
        <f t="shared" si="4"/>
        <v>2506376.1399999997</v>
      </c>
      <c r="R44" s="161">
        <v>5870072</v>
      </c>
      <c r="S44" s="162"/>
    </row>
    <row r="45" spans="1:19" hidden="1" x14ac:dyDescent="0.2">
      <c r="A45" s="154" t="s">
        <v>5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37">
        <f t="shared" si="4"/>
        <v>0</v>
      </c>
      <c r="R45" s="161"/>
      <c r="S45" s="162"/>
    </row>
    <row r="46" spans="1:19" hidden="1" x14ac:dyDescent="0.2">
      <c r="A46" s="154" t="s">
        <v>34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37">
        <f t="shared" si="4"/>
        <v>0</v>
      </c>
      <c r="R46" s="161"/>
      <c r="S46" s="162"/>
    </row>
    <row r="47" spans="1:19" x14ac:dyDescent="0.2">
      <c r="A47" s="154" t="s">
        <v>35</v>
      </c>
      <c r="B47" s="141">
        <f>1676747.48+885111.25</f>
        <v>2561858.73</v>
      </c>
      <c r="C47" s="141">
        <f>1676717.48+904294.35</f>
        <v>2581011.83</v>
      </c>
      <c r="D47" s="141">
        <f>1676717.48+902752.9</f>
        <v>2579470.38</v>
      </c>
      <c r="E47" s="141">
        <v>2581012</v>
      </c>
      <c r="F47" s="141">
        <v>2572720</v>
      </c>
      <c r="G47" s="141">
        <v>2568721</v>
      </c>
      <c r="H47" s="141">
        <f>533354.77+436544.19+555496.88+626437.5+836746.95</f>
        <v>2988580.29</v>
      </c>
      <c r="I47" s="141">
        <f>836746.95+626437.5+555496.68+436544.19+557743.03</f>
        <v>3012968.3499999996</v>
      </c>
      <c r="J47" s="141">
        <f>2568666+496005.93</f>
        <v>3064671.93</v>
      </c>
      <c r="K47" s="141">
        <f>996908+2018681</f>
        <v>3015589</v>
      </c>
      <c r="L47" s="141">
        <f>1015225+2018681.13</f>
        <v>3033906.13</v>
      </c>
      <c r="M47" s="141">
        <v>2081325</v>
      </c>
      <c r="N47" s="137">
        <f t="shared" si="4"/>
        <v>32641834.639999997</v>
      </c>
      <c r="R47" s="161">
        <v>26067941</v>
      </c>
      <c r="S47" s="162"/>
    </row>
    <row r="48" spans="1:19" x14ac:dyDescent="0.2">
      <c r="A48" s="154" t="s">
        <v>36</v>
      </c>
      <c r="B48" s="163">
        <v>2758732.18</v>
      </c>
      <c r="C48" s="163">
        <v>4524784.22</v>
      </c>
      <c r="D48" s="163">
        <v>4972784.22</v>
      </c>
      <c r="E48" s="163">
        <v>5541464.3600000003</v>
      </c>
      <c r="F48" s="163">
        <v>5049364.3</v>
      </c>
      <c r="G48" s="163">
        <v>4354453.72</v>
      </c>
      <c r="H48" s="163">
        <v>3605658.83</v>
      </c>
      <c r="I48" s="163">
        <v>4242704.9800000004</v>
      </c>
      <c r="J48" s="163">
        <v>3748181.14</v>
      </c>
      <c r="K48" s="163">
        <v>2146761.85</v>
      </c>
      <c r="L48" s="163">
        <v>2795289.03</v>
      </c>
      <c r="M48" s="163">
        <v>3147087.28</v>
      </c>
      <c r="N48" s="137">
        <f t="shared" si="4"/>
        <v>46887266.110000007</v>
      </c>
      <c r="O48" s="175"/>
      <c r="R48" s="161">
        <v>34847861</v>
      </c>
      <c r="S48" s="162"/>
    </row>
    <row r="49" spans="1:19" x14ac:dyDescent="0.2">
      <c r="A49" s="154" t="s">
        <v>39</v>
      </c>
      <c r="B49" s="141">
        <v>0</v>
      </c>
      <c r="C49" s="141">
        <v>0</v>
      </c>
      <c r="D49" s="141">
        <v>2855113.99</v>
      </c>
      <c r="E49" s="141">
        <v>718118.78</v>
      </c>
      <c r="F49" s="141">
        <v>2208125.4700000002</v>
      </c>
      <c r="G49" s="141">
        <v>2736926.95</v>
      </c>
      <c r="H49" s="141">
        <v>0</v>
      </c>
      <c r="I49" s="141">
        <v>0</v>
      </c>
      <c r="J49" s="141">
        <v>0</v>
      </c>
      <c r="K49" s="141">
        <v>0</v>
      </c>
      <c r="L49" s="141">
        <v>1043113.46</v>
      </c>
      <c r="M49" s="141">
        <v>0</v>
      </c>
      <c r="N49" s="137">
        <f t="shared" si="4"/>
        <v>9561398.6500000022</v>
      </c>
      <c r="R49" s="161">
        <v>3088553.09</v>
      </c>
      <c r="S49" s="162"/>
    </row>
    <row r="50" spans="1:19" x14ac:dyDescent="0.2">
      <c r="A50" s="154" t="s">
        <v>70</v>
      </c>
      <c r="B50" s="141">
        <v>0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41">
        <v>0</v>
      </c>
      <c r="I50" s="141">
        <v>0</v>
      </c>
      <c r="J50" s="141">
        <v>0</v>
      </c>
      <c r="K50" s="141">
        <v>0</v>
      </c>
      <c r="L50" s="141">
        <v>0</v>
      </c>
      <c r="M50" s="141">
        <v>0</v>
      </c>
      <c r="N50" s="137">
        <f t="shared" si="4"/>
        <v>0</v>
      </c>
      <c r="R50" s="161"/>
      <c r="S50" s="162"/>
    </row>
    <row r="51" spans="1:19" x14ac:dyDescent="0.2">
      <c r="A51" s="164" t="s">
        <v>78</v>
      </c>
      <c r="B51" s="141">
        <v>3353610</v>
      </c>
      <c r="C51" s="141">
        <v>4710134</v>
      </c>
      <c r="D51" s="141">
        <v>3843687</v>
      </c>
      <c r="E51" s="141">
        <v>5274275</v>
      </c>
      <c r="F51" s="141">
        <v>2527162</v>
      </c>
      <c r="G51" s="141">
        <v>3527270</v>
      </c>
      <c r="H51" s="141">
        <v>3652271</v>
      </c>
      <c r="I51" s="141">
        <v>1297252</v>
      </c>
      <c r="J51" s="141">
        <v>3896257</v>
      </c>
      <c r="K51" s="141">
        <v>2275383</v>
      </c>
      <c r="L51" s="141">
        <v>3579285</v>
      </c>
      <c r="M51" s="141">
        <v>4546418.22</v>
      </c>
      <c r="N51" s="137">
        <f t="shared" si="4"/>
        <v>42483004.219999999</v>
      </c>
      <c r="R51" s="161"/>
      <c r="S51" s="162"/>
    </row>
    <row r="52" spans="1:19" x14ac:dyDescent="0.2">
      <c r="A52" s="176" t="s">
        <v>6</v>
      </c>
      <c r="B52" s="177">
        <f t="shared" ref="B52:M52" si="5">SUM(B19:B51)</f>
        <v>191789578.23999998</v>
      </c>
      <c r="C52" s="177">
        <f t="shared" si="5"/>
        <v>89519065.25999999</v>
      </c>
      <c r="D52" s="177">
        <f t="shared" si="5"/>
        <v>97627219.87999998</v>
      </c>
      <c r="E52" s="177">
        <f t="shared" si="5"/>
        <v>164280760.96999997</v>
      </c>
      <c r="F52" s="177">
        <f t="shared" si="5"/>
        <v>94239724.650000006</v>
      </c>
      <c r="G52" s="177">
        <f t="shared" si="5"/>
        <v>165761814.97999996</v>
      </c>
      <c r="H52" s="177">
        <f t="shared" si="5"/>
        <v>144533164.59000003</v>
      </c>
      <c r="I52" s="177">
        <f t="shared" si="5"/>
        <v>120674883.29000001</v>
      </c>
      <c r="J52" s="177">
        <f t="shared" si="5"/>
        <v>159459014.54999998</v>
      </c>
      <c r="K52" s="177">
        <f t="shared" si="5"/>
        <v>62416959.93</v>
      </c>
      <c r="L52" s="177">
        <f t="shared" si="5"/>
        <v>139365810.28</v>
      </c>
      <c r="M52" s="177">
        <f t="shared" si="5"/>
        <v>145888488.72999999</v>
      </c>
      <c r="N52" s="137">
        <f>B52+C52+D52</f>
        <v>378935863.38</v>
      </c>
      <c r="R52" s="161">
        <f>SUM(R19:R51)</f>
        <v>964416200.21999991</v>
      </c>
      <c r="S52" s="162"/>
    </row>
    <row r="53" spans="1:19" ht="10.8" thickBot="1" x14ac:dyDescent="0.25">
      <c r="A53" s="178" t="s">
        <v>7</v>
      </c>
      <c r="B53" s="179">
        <f t="shared" ref="B53:N53" si="6">B16-B52</f>
        <v>213097127.67999998</v>
      </c>
      <c r="C53" s="179">
        <f t="shared" si="6"/>
        <v>209666019.34999996</v>
      </c>
      <c r="D53" s="179">
        <f t="shared" si="6"/>
        <v>227148926.78999996</v>
      </c>
      <c r="E53" s="179">
        <f t="shared" si="6"/>
        <v>144367963.65999997</v>
      </c>
      <c r="F53" s="179">
        <f t="shared" si="6"/>
        <v>137176261.86999995</v>
      </c>
      <c r="G53" s="179">
        <f t="shared" si="6"/>
        <v>214142243.52999997</v>
      </c>
      <c r="H53" s="179">
        <f t="shared" si="6"/>
        <v>142919987.81999993</v>
      </c>
      <c r="I53" s="179">
        <f t="shared" si="6"/>
        <v>99217466.389999911</v>
      </c>
      <c r="J53" s="179">
        <f t="shared" si="6"/>
        <v>199292231.67999992</v>
      </c>
      <c r="K53" s="179">
        <f t="shared" si="6"/>
        <v>201082347.33999991</v>
      </c>
      <c r="L53" s="179">
        <f t="shared" si="6"/>
        <v>131907332.96999988</v>
      </c>
      <c r="M53" s="179">
        <f t="shared" si="6"/>
        <v>147461259.51999983</v>
      </c>
      <c r="N53" s="178">
        <f t="shared" si="6"/>
        <v>1766845028.5199995</v>
      </c>
      <c r="R53" s="180" t="e">
        <f>R16-R52</f>
        <v>#REF!</v>
      </c>
      <c r="S53" s="181"/>
    </row>
    <row r="56" spans="1:19" x14ac:dyDescent="0.2">
      <c r="J56" s="182" t="s">
        <v>89</v>
      </c>
    </row>
    <row r="57" spans="1:19" x14ac:dyDescent="0.2"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5"/>
    </row>
    <row r="58" spans="1:19" x14ac:dyDescent="0.2"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5"/>
    </row>
    <row r="59" spans="1:19" x14ac:dyDescent="0.2">
      <c r="A59" s="160"/>
      <c r="B59" s="184"/>
      <c r="C59" s="184"/>
      <c r="D59" s="184"/>
      <c r="E59" s="184"/>
      <c r="F59" s="184"/>
      <c r="G59" s="184"/>
      <c r="N59" s="185"/>
    </row>
    <row r="60" spans="1:19" x14ac:dyDescent="0.2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5"/>
    </row>
    <row r="61" spans="1:19" x14ac:dyDescent="0.2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5"/>
      <c r="O61" s="184"/>
    </row>
    <row r="62" spans="1:19" x14ac:dyDescent="0.2"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5"/>
      <c r="O62" s="160"/>
    </row>
    <row r="63" spans="1:19" x14ac:dyDescent="0.2"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5"/>
      <c r="O63" s="160"/>
    </row>
    <row r="64" spans="1:19" x14ac:dyDescent="0.2"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5"/>
    </row>
    <row r="65" spans="2:14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8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2005-E521-41EA-B302-4CD4520EB4FD}">
  <dimension ref="A1:Y67"/>
  <sheetViews>
    <sheetView tabSelected="1" workbookViewId="0">
      <selection activeCell="W66" sqref="W66"/>
    </sheetView>
  </sheetViews>
  <sheetFormatPr defaultColWidth="9.109375" defaultRowHeight="10.199999999999999" x14ac:dyDescent="0.2"/>
  <cols>
    <col min="1" max="1" width="33.33203125" style="131" customWidth="1"/>
    <col min="2" max="4" width="11.6640625" style="182" hidden="1" customWidth="1"/>
    <col min="5" max="13" width="15.88671875" style="182" hidden="1" customWidth="1"/>
    <col min="14" max="14" width="17.44140625" style="183" hidden="1" customWidth="1"/>
    <col min="15" max="15" width="9.109375" style="182" hidden="1" customWidth="1"/>
    <col min="16" max="16" width="9.6640625" style="182" hidden="1" customWidth="1"/>
    <col min="17" max="17" width="12.5546875" style="182" hidden="1" customWidth="1"/>
    <col min="18" max="19" width="15" style="182" hidden="1" customWidth="1"/>
    <col min="20" max="20" width="12" style="182" hidden="1" customWidth="1"/>
    <col min="21" max="23" width="15" style="182" customWidth="1"/>
    <col min="24" max="24" width="14.88671875" style="182" customWidth="1"/>
    <col min="25" max="25" width="14.88671875" style="131" customWidth="1"/>
    <col min="26" max="16384" width="9.109375" style="131"/>
  </cols>
  <sheetData>
    <row r="1" spans="1:24" ht="29.25" customHeight="1" x14ac:dyDescent="0.2">
      <c r="A1" s="129" t="s">
        <v>95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24" ht="36" customHeight="1" x14ac:dyDescent="0.25">
      <c r="A2" s="132" t="s">
        <v>0</v>
      </c>
      <c r="B2" s="133" t="s">
        <v>77</v>
      </c>
      <c r="C2" s="133" t="s">
        <v>76</v>
      </c>
      <c r="D2" s="133" t="s">
        <v>75</v>
      </c>
      <c r="E2" s="133" t="s">
        <v>79</v>
      </c>
      <c r="F2" s="133" t="s">
        <v>80</v>
      </c>
      <c r="G2" s="133" t="s">
        <v>81</v>
      </c>
      <c r="H2" s="133" t="s">
        <v>83</v>
      </c>
      <c r="I2" s="133" t="s">
        <v>84</v>
      </c>
      <c r="J2" s="133" t="s">
        <v>85</v>
      </c>
      <c r="K2" s="133" t="s">
        <v>86</v>
      </c>
      <c r="L2" s="133" t="s">
        <v>87</v>
      </c>
      <c r="M2" s="133" t="s">
        <v>88</v>
      </c>
      <c r="N2" s="134" t="s">
        <v>65</v>
      </c>
      <c r="O2" s="191" t="s">
        <v>92</v>
      </c>
      <c r="P2" s="191" t="s">
        <v>93</v>
      </c>
      <c r="Q2" s="191" t="s">
        <v>94</v>
      </c>
      <c r="R2" s="191" t="s">
        <v>96</v>
      </c>
      <c r="S2" s="191" t="s">
        <v>97</v>
      </c>
      <c r="T2" s="191" t="s">
        <v>98</v>
      </c>
      <c r="U2" s="191" t="s">
        <v>100</v>
      </c>
      <c r="V2" s="191" t="s">
        <v>101</v>
      </c>
      <c r="W2" s="191" t="s">
        <v>102</v>
      </c>
      <c r="X2" s="189" t="s">
        <v>90</v>
      </c>
    </row>
    <row r="3" spans="1:24" x14ac:dyDescent="0.2">
      <c r="A3" s="135" t="s">
        <v>91</v>
      </c>
      <c r="B3" s="136">
        <v>104790230.41</v>
      </c>
      <c r="C3" s="136">
        <f t="shared" ref="C3:H3" si="0">B55</f>
        <v>213097127.67999998</v>
      </c>
      <c r="D3" s="136">
        <f t="shared" si="0"/>
        <v>209666019.34999996</v>
      </c>
      <c r="E3" s="136">
        <f t="shared" si="0"/>
        <v>227148926.78999996</v>
      </c>
      <c r="F3" s="136">
        <f t="shared" si="0"/>
        <v>144367963.65999997</v>
      </c>
      <c r="G3" s="136">
        <f t="shared" si="0"/>
        <v>137176261.86999995</v>
      </c>
      <c r="H3" s="136">
        <f t="shared" si="0"/>
        <v>214142243.52999997</v>
      </c>
      <c r="I3" s="136">
        <f>H55</f>
        <v>142919987.81999993</v>
      </c>
      <c r="J3" s="136">
        <f>I55</f>
        <v>99217466.389999911</v>
      </c>
      <c r="K3" s="136">
        <f>J55</f>
        <v>199292231.67999992</v>
      </c>
      <c r="L3" s="136">
        <f>K55</f>
        <v>201082347.33999991</v>
      </c>
      <c r="M3" s="136">
        <f>L55</f>
        <v>131907332.96999988</v>
      </c>
      <c r="N3" s="137">
        <f>B3+C3+D3</f>
        <v>527553377.43999994</v>
      </c>
      <c r="O3" s="172">
        <f>M55</f>
        <v>147461259.51999983</v>
      </c>
      <c r="P3" s="172">
        <f>O55</f>
        <v>272205395.46999991</v>
      </c>
      <c r="Q3" s="172">
        <f>P55</f>
        <v>169380865.02999985</v>
      </c>
      <c r="R3" s="172">
        <f>Q55</f>
        <v>205579233.55999988</v>
      </c>
      <c r="S3" s="172">
        <f>R55</f>
        <v>198394712.12999991</v>
      </c>
      <c r="T3" s="172">
        <v>128366172</v>
      </c>
      <c r="U3" s="172">
        <f>T55</f>
        <v>200583387.39999998</v>
      </c>
      <c r="V3" s="172">
        <f>U55</f>
        <v>210813965.17000002</v>
      </c>
      <c r="W3" s="172">
        <f>V55</f>
        <v>159366950.56999999</v>
      </c>
      <c r="X3" s="172"/>
    </row>
    <row r="4" spans="1:24" x14ac:dyDescent="0.2">
      <c r="A4" s="140" t="s">
        <v>64</v>
      </c>
      <c r="B4" s="141"/>
      <c r="C4" s="141"/>
      <c r="D4" s="141"/>
      <c r="E4" s="141"/>
      <c r="F4" s="141"/>
      <c r="G4" s="141">
        <v>0</v>
      </c>
      <c r="H4" s="141"/>
      <c r="I4" s="141"/>
      <c r="J4" s="141"/>
      <c r="K4" s="141">
        <v>0</v>
      </c>
      <c r="L4" s="141">
        <v>0</v>
      </c>
      <c r="M4" s="141">
        <v>50000000</v>
      </c>
      <c r="N4" s="137">
        <f>B4+C4+D4+E4+F4+G4+H4+I4+J4+K4+L4+M4</f>
        <v>50000000</v>
      </c>
      <c r="O4" s="172">
        <v>0</v>
      </c>
      <c r="P4" s="172">
        <v>0</v>
      </c>
      <c r="Q4" s="172">
        <v>0</v>
      </c>
      <c r="R4" s="172">
        <v>0</v>
      </c>
      <c r="S4" s="172"/>
      <c r="T4" s="172"/>
      <c r="U4" s="172">
        <v>20000000</v>
      </c>
      <c r="V4" s="172"/>
      <c r="W4" s="172"/>
      <c r="X4" s="172">
        <f>SUM(O4:W4)</f>
        <v>20000000</v>
      </c>
    </row>
    <row r="5" spans="1:24" x14ac:dyDescent="0.2">
      <c r="A5" s="140" t="s">
        <v>46</v>
      </c>
      <c r="B5" s="141">
        <v>180254000</v>
      </c>
      <c r="C5" s="141">
        <v>0</v>
      </c>
      <c r="D5" s="141">
        <v>0</v>
      </c>
      <c r="E5" s="141">
        <v>0</v>
      </c>
      <c r="F5" s="141"/>
      <c r="G5" s="141">
        <v>143046393.66999999</v>
      </c>
      <c r="H5" s="141">
        <v>0</v>
      </c>
      <c r="I5" s="141">
        <v>0</v>
      </c>
      <c r="J5" s="141">
        <v>106858000</v>
      </c>
      <c r="K5" s="141">
        <v>0</v>
      </c>
      <c r="L5" s="141">
        <v>0</v>
      </c>
      <c r="M5" s="141">
        <v>0</v>
      </c>
      <c r="N5" s="137">
        <f t="shared" ref="N5:N16" si="1">B5+C5+D5+E5+F5+G5+H5+I5+J5+K5+L5+M5</f>
        <v>430158393.66999996</v>
      </c>
      <c r="O5" s="172">
        <v>187652000</v>
      </c>
      <c r="P5" s="172">
        <v>0</v>
      </c>
      <c r="Q5" s="172">
        <v>0</v>
      </c>
      <c r="R5" s="172">
        <v>0</v>
      </c>
      <c r="S5" s="172">
        <v>0</v>
      </c>
      <c r="T5" s="172">
        <v>157316000</v>
      </c>
      <c r="U5" s="172">
        <v>0</v>
      </c>
      <c r="V5" s="172">
        <v>0</v>
      </c>
      <c r="W5" s="172">
        <v>134726000</v>
      </c>
      <c r="X5" s="172">
        <f t="shared" ref="X5:X16" si="2">SUM(O5:W5)</f>
        <v>479694000</v>
      </c>
    </row>
    <row r="6" spans="1:24" x14ac:dyDescent="0.2">
      <c r="A6" s="140" t="s">
        <v>43</v>
      </c>
      <c r="B6" s="141">
        <v>48617000</v>
      </c>
      <c r="C6" s="141"/>
      <c r="D6" s="141">
        <v>26060000</v>
      </c>
      <c r="E6" s="141">
        <v>0</v>
      </c>
      <c r="F6" s="141">
        <v>0</v>
      </c>
      <c r="G6" s="141">
        <v>21717000</v>
      </c>
      <c r="H6" s="141">
        <v>0</v>
      </c>
      <c r="I6" s="141">
        <v>0</v>
      </c>
      <c r="J6" s="141">
        <f>3347000+62000000</f>
        <v>65347000</v>
      </c>
      <c r="K6" s="141">
        <v>0</v>
      </c>
      <c r="L6" s="141">
        <v>0</v>
      </c>
      <c r="M6" s="141">
        <v>0</v>
      </c>
      <c r="N6" s="137">
        <f t="shared" si="1"/>
        <v>161741000</v>
      </c>
      <c r="O6" s="172">
        <v>40000000</v>
      </c>
      <c r="P6" s="172">
        <v>0</v>
      </c>
      <c r="Q6" s="172">
        <v>28000000</v>
      </c>
      <c r="R6" s="172">
        <v>0</v>
      </c>
      <c r="S6" s="172">
        <v>0</v>
      </c>
      <c r="T6" s="172">
        <v>35000000</v>
      </c>
      <c r="U6" s="172">
        <v>0</v>
      </c>
      <c r="V6" s="172"/>
      <c r="W6" s="172">
        <v>16004000</v>
      </c>
      <c r="X6" s="172">
        <f t="shared" si="2"/>
        <v>119004000</v>
      </c>
    </row>
    <row r="7" spans="1:24" x14ac:dyDescent="0.2">
      <c r="A7" s="140" t="s">
        <v>44</v>
      </c>
      <c r="B7" s="141">
        <v>6000000</v>
      </c>
      <c r="C7" s="141">
        <v>0</v>
      </c>
      <c r="D7" s="141">
        <v>0</v>
      </c>
      <c r="E7" s="141">
        <v>0</v>
      </c>
      <c r="F7" s="141">
        <v>0</v>
      </c>
      <c r="G7" s="141">
        <v>10020000</v>
      </c>
      <c r="H7" s="141">
        <v>0</v>
      </c>
      <c r="I7" s="141">
        <v>0</v>
      </c>
      <c r="J7" s="141">
        <v>1300000</v>
      </c>
      <c r="K7" s="141">
        <v>0</v>
      </c>
      <c r="L7" s="141">
        <v>0</v>
      </c>
      <c r="M7" s="141">
        <v>0</v>
      </c>
      <c r="N7" s="137">
        <f t="shared" si="1"/>
        <v>17320000</v>
      </c>
      <c r="O7" s="172">
        <v>0</v>
      </c>
      <c r="P7" s="172">
        <v>0</v>
      </c>
      <c r="Q7" s="172">
        <v>0</v>
      </c>
      <c r="R7" s="172">
        <v>0</v>
      </c>
      <c r="S7" s="172">
        <v>10000000</v>
      </c>
      <c r="T7" s="172">
        <v>0</v>
      </c>
      <c r="U7" s="172">
        <v>0</v>
      </c>
      <c r="V7" s="172"/>
      <c r="W7" s="172">
        <v>4000000</v>
      </c>
      <c r="X7" s="172">
        <f t="shared" si="2"/>
        <v>14000000</v>
      </c>
    </row>
    <row r="8" spans="1:24" x14ac:dyDescent="0.2">
      <c r="A8" s="140" t="s">
        <v>99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37"/>
      <c r="O8" s="172"/>
      <c r="P8" s="172"/>
      <c r="Q8" s="172"/>
      <c r="R8" s="172">
        <v>0</v>
      </c>
      <c r="S8" s="172">
        <v>0</v>
      </c>
      <c r="T8" s="172">
        <v>3000000</v>
      </c>
      <c r="U8" s="172">
        <v>1000000</v>
      </c>
      <c r="V8" s="172">
        <v>1000000</v>
      </c>
      <c r="W8" s="172">
        <v>0</v>
      </c>
      <c r="X8" s="172">
        <f t="shared" si="2"/>
        <v>5000000</v>
      </c>
    </row>
    <row r="9" spans="1:24" x14ac:dyDescent="0.2">
      <c r="A9" s="140" t="s">
        <v>51</v>
      </c>
      <c r="B9" s="141">
        <v>0</v>
      </c>
      <c r="C9" s="141">
        <v>2000000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37">
        <f t="shared" si="1"/>
        <v>2000000</v>
      </c>
      <c r="O9" s="172">
        <v>0</v>
      </c>
      <c r="P9" s="172">
        <v>2000000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0</v>
      </c>
      <c r="X9" s="172">
        <f t="shared" si="2"/>
        <v>2000000</v>
      </c>
    </row>
    <row r="10" spans="1:24" x14ac:dyDescent="0.2">
      <c r="A10" s="140" t="s">
        <v>45</v>
      </c>
      <c r="B10" s="141">
        <v>0</v>
      </c>
      <c r="C10" s="141">
        <v>2116000</v>
      </c>
      <c r="D10" s="141">
        <v>0</v>
      </c>
      <c r="E10" s="141">
        <v>0</v>
      </c>
      <c r="F10" s="141">
        <v>3808000</v>
      </c>
      <c r="G10" s="141">
        <v>0</v>
      </c>
      <c r="H10" s="141"/>
      <c r="I10" s="141"/>
      <c r="J10" s="141">
        <v>2539000</v>
      </c>
      <c r="K10" s="141">
        <v>0</v>
      </c>
      <c r="L10" s="141">
        <v>0</v>
      </c>
      <c r="M10" s="141">
        <v>0</v>
      </c>
      <c r="N10" s="137">
        <f t="shared" si="1"/>
        <v>8463000</v>
      </c>
      <c r="O10" s="172">
        <v>0</v>
      </c>
      <c r="P10" s="172">
        <v>2017000</v>
      </c>
      <c r="Q10" s="172">
        <v>0</v>
      </c>
      <c r="R10" s="172">
        <v>0</v>
      </c>
      <c r="S10" s="172">
        <v>0</v>
      </c>
      <c r="T10" s="172">
        <v>3630000</v>
      </c>
      <c r="U10" s="172">
        <v>0</v>
      </c>
      <c r="V10" s="172">
        <v>2418000</v>
      </c>
      <c r="W10" s="172">
        <v>0</v>
      </c>
      <c r="X10" s="172">
        <f t="shared" si="2"/>
        <v>8065000</v>
      </c>
    </row>
    <row r="11" spans="1:24" x14ac:dyDescent="0.2">
      <c r="A11" s="140" t="s">
        <v>66</v>
      </c>
      <c r="B11" s="141">
        <v>0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37">
        <f t="shared" si="1"/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f t="shared" si="2"/>
        <v>0</v>
      </c>
    </row>
    <row r="12" spans="1:24" x14ac:dyDescent="0.2">
      <c r="A12" s="140" t="s">
        <v>67</v>
      </c>
      <c r="B12" s="141">
        <v>0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37">
        <f t="shared" si="1"/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f t="shared" si="2"/>
        <v>0</v>
      </c>
    </row>
    <row r="13" spans="1:24" x14ac:dyDescent="0.2">
      <c r="A13" s="140" t="s">
        <v>1</v>
      </c>
      <c r="B13" s="141">
        <v>53445319.530000001</v>
      </c>
      <c r="C13" s="141">
        <v>61745227.479999997</v>
      </c>
      <c r="D13" s="141">
        <v>82834147.040000007</v>
      </c>
      <c r="E13" s="141">
        <v>64052653.329999998</v>
      </c>
      <c r="F13" s="141">
        <v>70224271.939999998</v>
      </c>
      <c r="G13" s="141">
        <v>55717412</v>
      </c>
      <c r="H13" s="141">
        <v>53123602.93</v>
      </c>
      <c r="I13" s="141">
        <v>56352099.399999999</v>
      </c>
      <c r="J13" s="141">
        <v>65739910.689999998</v>
      </c>
      <c r="K13" s="141">
        <v>51886786.869999997</v>
      </c>
      <c r="L13" s="141">
        <v>58923800</v>
      </c>
      <c r="M13" s="141">
        <v>96552134.439999998</v>
      </c>
      <c r="N13" s="137">
        <f t="shared" si="1"/>
        <v>770597365.64999986</v>
      </c>
      <c r="O13" s="172">
        <v>58900619.880000003</v>
      </c>
      <c r="P13" s="172">
        <v>81146592</v>
      </c>
      <c r="Q13" s="172">
        <v>72083725.859999999</v>
      </c>
      <c r="R13" s="172">
        <v>80042209.689999998</v>
      </c>
      <c r="S13" s="172">
        <v>79790935.760000005</v>
      </c>
      <c r="T13" s="172">
        <v>64195091.869999997</v>
      </c>
      <c r="U13" s="172">
        <v>61372904.93</v>
      </c>
      <c r="V13" s="172">
        <v>56676601.43</v>
      </c>
      <c r="W13" s="172">
        <v>66062564.170000002</v>
      </c>
      <c r="X13" s="172">
        <f t="shared" si="2"/>
        <v>620271245.58999991</v>
      </c>
    </row>
    <row r="14" spans="1:24" x14ac:dyDescent="0.2">
      <c r="A14" s="144" t="s">
        <v>38</v>
      </c>
      <c r="B14" s="141">
        <f>1540766.74+4584179.24</f>
        <v>6124945.9800000004</v>
      </c>
      <c r="C14" s="141">
        <v>13299899</v>
      </c>
      <c r="D14" s="141">
        <v>0</v>
      </c>
      <c r="E14" s="141">
        <v>0</v>
      </c>
      <c r="F14" s="141">
        <v>0</v>
      </c>
      <c r="G14" s="141">
        <v>0</v>
      </c>
      <c r="H14" s="141">
        <v>7582442.1299999999</v>
      </c>
      <c r="I14" s="141">
        <v>5936718.5099999998</v>
      </c>
      <c r="J14" s="141">
        <v>2498604.71</v>
      </c>
      <c r="K14" s="141">
        <v>4023795.24</v>
      </c>
      <c r="L14" s="141">
        <v>0</v>
      </c>
      <c r="M14" s="141">
        <v>3847197.96</v>
      </c>
      <c r="N14" s="137">
        <f t="shared" si="1"/>
        <v>43313603.530000001</v>
      </c>
      <c r="O14" s="172">
        <v>0</v>
      </c>
      <c r="P14" s="182">
        <v>1563719.57</v>
      </c>
      <c r="Q14" s="172">
        <v>10941506.369999999</v>
      </c>
      <c r="R14" s="172">
        <v>4253393.4800000004</v>
      </c>
      <c r="S14" s="172">
        <v>0</v>
      </c>
      <c r="T14" s="172">
        <v>0</v>
      </c>
      <c r="U14" s="172">
        <v>10831622</v>
      </c>
      <c r="V14" s="172">
        <v>0</v>
      </c>
      <c r="W14" s="172">
        <v>3630851.7</v>
      </c>
      <c r="X14" s="172">
        <f t="shared" si="2"/>
        <v>31221093.120000001</v>
      </c>
    </row>
    <row r="15" spans="1:24" x14ac:dyDescent="0.2">
      <c r="A15" s="145" t="s">
        <v>12</v>
      </c>
      <c r="B15" s="146">
        <v>5655210</v>
      </c>
      <c r="C15" s="146">
        <v>6926830.4500000002</v>
      </c>
      <c r="D15" s="146">
        <v>6215980.2800000003</v>
      </c>
      <c r="E15" s="146">
        <v>8081803.4500000002</v>
      </c>
      <c r="F15" s="146">
        <v>7374645</v>
      </c>
      <c r="G15" s="146">
        <v>6378501.1500000004</v>
      </c>
      <c r="H15" s="146">
        <v>5547806.54</v>
      </c>
      <c r="I15" s="146">
        <v>6488065.4800000004</v>
      </c>
      <c r="J15" s="146">
        <v>5748961.4199999999</v>
      </c>
      <c r="K15" s="146">
        <v>3066802.64</v>
      </c>
      <c r="L15" s="146">
        <v>3993270.04</v>
      </c>
      <c r="M15" s="146">
        <v>3933859.1</v>
      </c>
      <c r="N15" s="137">
        <f t="shared" si="1"/>
        <v>69411735.549999997</v>
      </c>
      <c r="O15" s="172">
        <v>0</v>
      </c>
      <c r="P15" s="172">
        <v>0</v>
      </c>
      <c r="Q15" s="172">
        <v>0</v>
      </c>
      <c r="R15" s="172">
        <v>7440718.5099999998</v>
      </c>
      <c r="S15" s="172">
        <v>7228111.3899999997</v>
      </c>
      <c r="T15" s="172">
        <v>6657402.8899999997</v>
      </c>
      <c r="U15" s="172">
        <v>4647189.5999999996</v>
      </c>
      <c r="V15" s="172">
        <v>4568701</v>
      </c>
      <c r="W15" s="172">
        <v>3752198</v>
      </c>
      <c r="X15" s="172">
        <f t="shared" si="2"/>
        <v>34294321.390000001</v>
      </c>
    </row>
    <row r="16" spans="1:24" x14ac:dyDescent="0.2">
      <c r="A16" s="145" t="s">
        <v>8</v>
      </c>
      <c r="B16" s="146"/>
      <c r="C16" s="146"/>
      <c r="D16" s="146"/>
      <c r="E16" s="146">
        <v>9365341.0600000005</v>
      </c>
      <c r="F16" s="146">
        <v>5641105.9199999999</v>
      </c>
      <c r="G16" s="146">
        <v>5848489.8200000003</v>
      </c>
      <c r="H16" s="146">
        <v>7057057.2800000003</v>
      </c>
      <c r="I16" s="146">
        <v>8195478.4699999997</v>
      </c>
      <c r="J16" s="146">
        <v>9502303.0199999996</v>
      </c>
      <c r="K16" s="146">
        <v>5229690.84</v>
      </c>
      <c r="L16" s="146">
        <v>7273725.8700000001</v>
      </c>
      <c r="M16" s="146">
        <v>7109223.7800000003</v>
      </c>
      <c r="N16" s="137">
        <f t="shared" si="1"/>
        <v>65222416.06000001</v>
      </c>
      <c r="O16" s="172">
        <v>6890153.2199999997</v>
      </c>
      <c r="P16" s="172">
        <v>7948328.46</v>
      </c>
      <c r="Q16" s="172">
        <v>16463631</v>
      </c>
      <c r="R16" s="172">
        <v>6980548.5999999996</v>
      </c>
      <c r="S16" s="172">
        <v>12848559.310000001</v>
      </c>
      <c r="T16" s="172">
        <v>9123767.2799999993</v>
      </c>
      <c r="U16" s="172">
        <v>2703414</v>
      </c>
      <c r="V16" s="172">
        <v>3466616.9</v>
      </c>
      <c r="W16" s="172">
        <v>7630880.2199999997</v>
      </c>
      <c r="X16" s="172">
        <f t="shared" si="2"/>
        <v>74055898.99000001</v>
      </c>
    </row>
    <row r="17" spans="1:25" ht="10.8" thickBot="1" x14ac:dyDescent="0.25">
      <c r="A17" s="147" t="s">
        <v>22</v>
      </c>
      <c r="B17" s="148">
        <f>SUM(B3:B16)</f>
        <v>404886705.91999996</v>
      </c>
      <c r="C17" s="148">
        <f t="shared" ref="C17:N17" si="3">SUM(C3:C16)</f>
        <v>299185084.60999995</v>
      </c>
      <c r="D17" s="148">
        <f t="shared" si="3"/>
        <v>324776146.66999996</v>
      </c>
      <c r="E17" s="148">
        <f t="shared" si="3"/>
        <v>308648724.62999994</v>
      </c>
      <c r="F17" s="148">
        <f t="shared" si="3"/>
        <v>231415986.51999995</v>
      </c>
      <c r="G17" s="148">
        <f t="shared" si="3"/>
        <v>379904058.50999993</v>
      </c>
      <c r="H17" s="148">
        <f t="shared" si="3"/>
        <v>287453152.40999997</v>
      </c>
      <c r="I17" s="148">
        <f t="shared" si="3"/>
        <v>219892349.67999992</v>
      </c>
      <c r="J17" s="148">
        <f t="shared" si="3"/>
        <v>358751246.2299999</v>
      </c>
      <c r="K17" s="148">
        <f t="shared" si="3"/>
        <v>263499307.26999992</v>
      </c>
      <c r="L17" s="148">
        <f t="shared" si="3"/>
        <v>271273143.24999988</v>
      </c>
      <c r="M17" s="148">
        <f t="shared" si="3"/>
        <v>293349748.24999982</v>
      </c>
      <c r="N17" s="148">
        <f t="shared" si="3"/>
        <v>2145780891.8999996</v>
      </c>
      <c r="O17" s="194">
        <f>SUM(O3:O16)</f>
        <v>440904032.61999989</v>
      </c>
      <c r="P17" s="194">
        <f t="shared" ref="P17:W17" si="4">SUM(P3:P16)</f>
        <v>366881035.49999988</v>
      </c>
      <c r="Q17" s="194">
        <f t="shared" si="4"/>
        <v>296869728.25999987</v>
      </c>
      <c r="R17" s="194">
        <f t="shared" si="4"/>
        <v>304296103.83999991</v>
      </c>
      <c r="S17" s="194">
        <f t="shared" si="4"/>
        <v>308262318.58999991</v>
      </c>
      <c r="T17" s="194">
        <f t="shared" si="4"/>
        <v>407288434.03999996</v>
      </c>
      <c r="U17" s="194">
        <f t="shared" si="4"/>
        <v>301138517.93000001</v>
      </c>
      <c r="V17" s="194">
        <f t="shared" si="4"/>
        <v>278943884.5</v>
      </c>
      <c r="W17" s="194">
        <f t="shared" si="4"/>
        <v>395173444.66000003</v>
      </c>
      <c r="X17" s="194">
        <f>SUM(X3:X16)</f>
        <v>1407605559.0899999</v>
      </c>
    </row>
    <row r="18" spans="1:25" ht="10.8" thickTop="1" x14ac:dyDescent="0.2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50"/>
      <c r="O18" s="193"/>
      <c r="P18" s="193"/>
      <c r="Q18" s="193"/>
      <c r="R18" s="193"/>
      <c r="S18" s="193"/>
      <c r="T18" s="193"/>
      <c r="U18" s="193"/>
      <c r="V18" s="193"/>
      <c r="W18" s="193"/>
      <c r="X18" s="193"/>
    </row>
    <row r="19" spans="1:25" x14ac:dyDescent="0.2">
      <c r="A19" s="152" t="s">
        <v>2</v>
      </c>
      <c r="B19" s="133" t="s">
        <v>77</v>
      </c>
      <c r="C19" s="133" t="s">
        <v>76</v>
      </c>
      <c r="D19" s="133" t="s">
        <v>75</v>
      </c>
      <c r="E19" s="133" t="s">
        <v>79</v>
      </c>
      <c r="F19" s="133" t="s">
        <v>80</v>
      </c>
      <c r="G19" s="133" t="s">
        <v>81</v>
      </c>
      <c r="H19" s="133" t="s">
        <v>83</v>
      </c>
      <c r="I19" s="133" t="s">
        <v>84</v>
      </c>
      <c r="J19" s="133" t="s">
        <v>85</v>
      </c>
      <c r="K19" s="133"/>
      <c r="L19" s="133"/>
      <c r="M19" s="133"/>
      <c r="N19" s="134" t="s">
        <v>65</v>
      </c>
      <c r="O19" s="172"/>
      <c r="P19" s="172"/>
      <c r="Q19" s="172"/>
      <c r="R19" s="172"/>
      <c r="S19" s="172"/>
      <c r="T19" s="172"/>
      <c r="U19" s="172"/>
      <c r="V19" s="172"/>
      <c r="W19" s="172"/>
      <c r="X19" s="172"/>
    </row>
    <row r="20" spans="1:25" x14ac:dyDescent="0.2">
      <c r="A20" s="154" t="s">
        <v>68</v>
      </c>
      <c r="B20" s="155"/>
      <c r="C20" s="155">
        <v>0</v>
      </c>
      <c r="D20" s="155">
        <v>0</v>
      </c>
      <c r="E20" s="155"/>
      <c r="F20" s="155"/>
      <c r="G20" s="155"/>
      <c r="H20" s="155"/>
      <c r="I20" s="155"/>
      <c r="J20" s="155"/>
      <c r="K20" s="155">
        <v>0</v>
      </c>
      <c r="L20" s="155">
        <v>0</v>
      </c>
      <c r="M20" s="155">
        <v>0</v>
      </c>
      <c r="N20" s="137">
        <f>B20+C20+D20+E20+F20+G20</f>
        <v>0</v>
      </c>
      <c r="O20" s="172">
        <v>0</v>
      </c>
      <c r="P20" s="172">
        <v>60000000</v>
      </c>
      <c r="Q20" s="172">
        <v>0</v>
      </c>
      <c r="R20" s="172"/>
      <c r="S20" s="172"/>
      <c r="T20" s="172">
        <v>0</v>
      </c>
      <c r="U20" s="172">
        <v>0</v>
      </c>
      <c r="V20" s="172">
        <v>0</v>
      </c>
      <c r="W20" s="172">
        <v>70000000</v>
      </c>
      <c r="X20" s="172">
        <f>SUM(O20:W20)-U4</f>
        <v>110000000</v>
      </c>
    </row>
    <row r="21" spans="1:25" x14ac:dyDescent="0.2">
      <c r="A21" s="154" t="s">
        <v>13</v>
      </c>
      <c r="B21" s="158">
        <v>17115008.66</v>
      </c>
      <c r="C21" s="158">
        <v>16867479.440000001</v>
      </c>
      <c r="D21" s="158">
        <v>17964537.859999999</v>
      </c>
      <c r="E21" s="159">
        <v>19396755.719999999</v>
      </c>
      <c r="F21" s="158">
        <v>18426957.440000001</v>
      </c>
      <c r="G21" s="158">
        <v>18461317.100000001</v>
      </c>
      <c r="H21" s="158">
        <v>17264527.719999999</v>
      </c>
      <c r="I21" s="158">
        <v>17218146.289999999</v>
      </c>
      <c r="J21" s="158">
        <v>17972924.859999999</v>
      </c>
      <c r="K21" s="158">
        <f>14147923.05+1517696.89+2192418.3</f>
        <v>17858038.240000002</v>
      </c>
      <c r="L21" s="158">
        <f>17582134.33+1324758.6+494130</f>
        <v>19401022.93</v>
      </c>
      <c r="M21" s="158">
        <f>17776118.78+280696.7</f>
        <v>18056815.48</v>
      </c>
      <c r="N21" s="137">
        <f>B21+C21+D21+E21+F21+G21+H21+I21+J21+K21+L21+M21</f>
        <v>216003531.73999998</v>
      </c>
      <c r="O21" s="172">
        <v>18597394.390000001</v>
      </c>
      <c r="P21" s="172">
        <v>18790051.960000001</v>
      </c>
      <c r="Q21" s="172">
        <v>17707783.899999999</v>
      </c>
      <c r="R21" s="172">
        <v>17651884.390000001</v>
      </c>
      <c r="S21" s="172">
        <v>20985625</v>
      </c>
      <c r="T21" s="172">
        <v>18310141</v>
      </c>
      <c r="U21" s="172">
        <v>17846840.57</v>
      </c>
      <c r="V21" s="172">
        <v>17753455.710000001</v>
      </c>
      <c r="W21" s="172">
        <v>19228341.219999999</v>
      </c>
      <c r="X21" s="172">
        <f>SUM(O21:W21)</f>
        <v>166871518.14000002</v>
      </c>
    </row>
    <row r="22" spans="1:25" x14ac:dyDescent="0.2">
      <c r="A22" s="154" t="s">
        <v>25</v>
      </c>
      <c r="B22" s="155">
        <v>494625</v>
      </c>
      <c r="C22" s="155">
        <v>493125</v>
      </c>
      <c r="D22" s="155">
        <v>475875</v>
      </c>
      <c r="E22" s="155">
        <v>512250</v>
      </c>
      <c r="F22" s="155">
        <v>473625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496485</v>
      </c>
      <c r="M22" s="155">
        <v>494130</v>
      </c>
      <c r="N22" s="137">
        <f t="shared" ref="N22:N52" si="5">B22+C22+D22+E22+F22+G22+H22+I22+J22+K22+L22+M22</f>
        <v>3440115</v>
      </c>
      <c r="O22" s="172">
        <v>509625</v>
      </c>
      <c r="P22" s="172">
        <v>485625</v>
      </c>
      <c r="Q22" s="172">
        <f>407625+105000</f>
        <v>512625</v>
      </c>
      <c r="R22" s="172">
        <v>502125</v>
      </c>
      <c r="S22" s="172">
        <v>512625</v>
      </c>
      <c r="T22" s="172">
        <v>499125</v>
      </c>
      <c r="U22" s="172">
        <v>512625</v>
      </c>
      <c r="V22" s="172">
        <v>497625</v>
      </c>
      <c r="W22" s="172">
        <v>512625</v>
      </c>
      <c r="X22" s="172">
        <f t="shared" ref="X22:X55" si="6">SUM(O22:W22)</f>
        <v>4544625</v>
      </c>
    </row>
    <row r="23" spans="1:25" hidden="1" x14ac:dyDescent="0.2">
      <c r="A23" s="154" t="s">
        <v>24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37">
        <f t="shared" si="5"/>
        <v>0</v>
      </c>
      <c r="O23" s="172"/>
      <c r="P23" s="172"/>
      <c r="Q23" s="172"/>
      <c r="R23" s="172"/>
      <c r="S23" s="172"/>
      <c r="T23" s="172"/>
      <c r="U23" s="172"/>
      <c r="V23" s="172"/>
      <c r="W23" s="172"/>
      <c r="X23" s="172">
        <f t="shared" si="6"/>
        <v>0</v>
      </c>
    </row>
    <row r="24" spans="1:25" x14ac:dyDescent="0.2">
      <c r="A24" s="154" t="s">
        <v>3</v>
      </c>
      <c r="B24" s="158"/>
      <c r="C24" s="158"/>
      <c r="D24" s="158"/>
      <c r="E24" s="158"/>
      <c r="F24" s="158"/>
      <c r="G24" s="158"/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37">
        <f t="shared" si="5"/>
        <v>0</v>
      </c>
      <c r="O24" s="172">
        <v>0</v>
      </c>
      <c r="P24" s="172">
        <v>0</v>
      </c>
      <c r="Q24" s="172">
        <v>0</v>
      </c>
      <c r="R24" s="172"/>
      <c r="S24" s="172"/>
      <c r="T24" s="172"/>
      <c r="U24" s="172"/>
      <c r="V24" s="172"/>
      <c r="W24" s="172"/>
      <c r="X24" s="172">
        <f t="shared" si="6"/>
        <v>0</v>
      </c>
    </row>
    <row r="25" spans="1:25" x14ac:dyDescent="0.2">
      <c r="A25" s="154" t="s">
        <v>74</v>
      </c>
      <c r="B25" s="155">
        <v>38478039</v>
      </c>
      <c r="C25" s="155">
        <v>3569127</v>
      </c>
      <c r="D25" s="155">
        <v>7113596</v>
      </c>
      <c r="E25" s="155">
        <v>57353506</v>
      </c>
      <c r="F25" s="155">
        <v>4292567</v>
      </c>
      <c r="G25" s="155">
        <v>18361032</v>
      </c>
      <c r="H25" s="155">
        <v>11825846</v>
      </c>
      <c r="I25" s="155">
        <v>9251623</v>
      </c>
      <c r="J25" s="155">
        <v>16275632</v>
      </c>
      <c r="K25" s="155">
        <v>2578323</v>
      </c>
      <c r="L25" s="155">
        <v>7061349</v>
      </c>
      <c r="M25" s="155">
        <v>1050111</v>
      </c>
      <c r="N25" s="137">
        <f t="shared" si="5"/>
        <v>177210751</v>
      </c>
      <c r="O25" s="172">
        <v>8527291</v>
      </c>
      <c r="P25" s="172">
        <v>7191016</v>
      </c>
      <c r="Q25" s="172">
        <v>2927539</v>
      </c>
      <c r="R25" s="172">
        <v>10257865</v>
      </c>
      <c r="S25" s="172">
        <v>13275698</v>
      </c>
      <c r="T25" s="172">
        <v>15275896</v>
      </c>
      <c r="U25" s="172">
        <v>6330888</v>
      </c>
      <c r="V25" s="172">
        <v>1394058</v>
      </c>
      <c r="W25" s="172">
        <v>14681009</v>
      </c>
      <c r="X25" s="172">
        <f t="shared" si="6"/>
        <v>79861260</v>
      </c>
    </row>
    <row r="26" spans="1:25" x14ac:dyDescent="0.2">
      <c r="A26" s="154" t="s">
        <v>73</v>
      </c>
      <c r="B26" s="155">
        <f>6898629.27+5605096.48</f>
        <v>12503725.75</v>
      </c>
      <c r="C26" s="155">
        <f>5738102.41+6891616.32</f>
        <v>12629718.73</v>
      </c>
      <c r="D26" s="155">
        <f>6375462.05+6878915.66</f>
        <v>13254377.710000001</v>
      </c>
      <c r="E26" s="155">
        <f>7308207.36+7563264.88</f>
        <v>14871472.24</v>
      </c>
      <c r="F26" s="155">
        <f>6942188.91+7103693.67</f>
        <v>14045882.58</v>
      </c>
      <c r="G26" s="155">
        <f>7075110.42+6883174.86</f>
        <v>13958285.280000001</v>
      </c>
      <c r="H26" s="155">
        <f>6439529.75+7057052.5</f>
        <v>13496582.25</v>
      </c>
      <c r="I26" s="155">
        <f>6407677.15+7025048.24</f>
        <v>13432725.390000001</v>
      </c>
      <c r="J26" s="155">
        <f>6799258.43+7253426.23</f>
        <v>14052684.66</v>
      </c>
      <c r="K26" s="155">
        <f>7020067.71+6026105.52</f>
        <v>13046173.23</v>
      </c>
      <c r="L26" s="155">
        <f>6571451.65+6948668.83</f>
        <v>13520120.48</v>
      </c>
      <c r="M26" s="155">
        <f>7225075.32+5900320.22</f>
        <v>13125395.539999999</v>
      </c>
      <c r="N26" s="137">
        <f t="shared" si="5"/>
        <v>161937143.83999997</v>
      </c>
      <c r="O26" s="172">
        <f>7225075.32+6465964.37</f>
        <v>13691039.690000001</v>
      </c>
      <c r="P26" s="172">
        <f>6629876.17+7357391.27</f>
        <v>13987267.439999999</v>
      </c>
      <c r="Q26" s="172">
        <f>6629876.17+7357391.27</f>
        <v>13987267.439999999</v>
      </c>
      <c r="R26" s="172">
        <f>8267528.36+1417.35+7335287.58</f>
        <v>15604233.289999999</v>
      </c>
      <c r="S26" s="172">
        <f>7329362.72+6329827.43</f>
        <v>13659190.149999999</v>
      </c>
      <c r="T26" s="172">
        <f>7343700.62+6846941.83</f>
        <v>14190642.449999999</v>
      </c>
      <c r="U26" s="172">
        <f>7141754.65+7387212.71</f>
        <v>14528967.359999999</v>
      </c>
      <c r="V26" s="172">
        <f>6566940.83+7401787.84</f>
        <v>13968728.67</v>
      </c>
      <c r="W26" s="172">
        <f>7395849.42+6594960.88</f>
        <v>13990810.300000001</v>
      </c>
      <c r="X26" s="172">
        <f t="shared" si="6"/>
        <v>127608146.78999999</v>
      </c>
    </row>
    <row r="27" spans="1:25" x14ac:dyDescent="0.2">
      <c r="A27" s="154" t="s">
        <v>72</v>
      </c>
      <c r="B27" s="141">
        <v>2360089.52</v>
      </c>
      <c r="C27" s="141">
        <v>2203660.21</v>
      </c>
      <c r="D27" s="141">
        <v>2385586.33</v>
      </c>
      <c r="E27" s="141">
        <f>687041+202883.6+180367.2+1009339+170473.01+155506</f>
        <v>2405609.81</v>
      </c>
      <c r="F27" s="141">
        <v>2204752.77</v>
      </c>
      <c r="G27" s="141">
        <v>2409221.5099999998</v>
      </c>
      <c r="H27" s="141">
        <v>2363032.4700000002</v>
      </c>
      <c r="I27" s="141">
        <v>2346574.35</v>
      </c>
      <c r="J27" s="141">
        <v>2376582.36</v>
      </c>
      <c r="K27" s="141">
        <v>2552793</v>
      </c>
      <c r="L27" s="141">
        <v>2545854.6</v>
      </c>
      <c r="M27" s="141">
        <v>2542933.3199999998</v>
      </c>
      <c r="N27" s="137">
        <f t="shared" si="5"/>
        <v>28696690.250000004</v>
      </c>
      <c r="O27" s="172">
        <v>2532328</v>
      </c>
      <c r="P27" s="172">
        <v>2601518</v>
      </c>
      <c r="Q27" s="172">
        <v>2559466.0299999998</v>
      </c>
      <c r="R27" s="172">
        <v>2562356.66</v>
      </c>
      <c r="S27" s="172">
        <v>2547939.13</v>
      </c>
      <c r="T27" s="172">
        <v>2551317.09</v>
      </c>
      <c r="U27" s="172">
        <v>2551317</v>
      </c>
      <c r="V27" s="172">
        <v>2551317</v>
      </c>
      <c r="W27" s="172">
        <v>2551317</v>
      </c>
      <c r="X27" s="172">
        <f t="shared" si="6"/>
        <v>23008875.91</v>
      </c>
    </row>
    <row r="28" spans="1:25" ht="17.399999999999999" customHeight="1" x14ac:dyDescent="0.2">
      <c r="A28" s="154" t="s">
        <v>37</v>
      </c>
      <c r="B28" s="163">
        <f>1107700+220589.3</f>
        <v>1328289.3</v>
      </c>
      <c r="C28" s="163">
        <f>1107700+220589.3</f>
        <v>1328289.3</v>
      </c>
      <c r="D28" s="163">
        <f>1296000+220589.3</f>
        <v>1516589.3</v>
      </c>
      <c r="E28" s="163">
        <v>1516289</v>
      </c>
      <c r="F28" s="163">
        <v>1516289</v>
      </c>
      <c r="G28" s="163">
        <v>1516289</v>
      </c>
      <c r="H28" s="163">
        <f>1540080+43890.9+253677.7</f>
        <v>1837648.5999999999</v>
      </c>
      <c r="I28" s="163">
        <f>1540080+253677.7</f>
        <v>1793757.7</v>
      </c>
      <c r="J28" s="163">
        <f>1540080+43890.9+253677.7</f>
        <v>1837648.5999999999</v>
      </c>
      <c r="K28" s="163">
        <f>1802434.05+43890.9+253677.7</f>
        <v>2100002.65</v>
      </c>
      <c r="L28" s="163">
        <f>1802434.05+43890.9+253677.7</f>
        <v>2100002.65</v>
      </c>
      <c r="M28" s="163">
        <f>1972987.42+43890.9+253677.7</f>
        <v>2270556.02</v>
      </c>
      <c r="N28" s="137">
        <f t="shared" si="5"/>
        <v>20661651.119999997</v>
      </c>
      <c r="O28" s="172">
        <v>2241656</v>
      </c>
      <c r="P28" s="172">
        <v>2241656</v>
      </c>
      <c r="Q28" s="172">
        <v>2241656</v>
      </c>
      <c r="R28" s="172">
        <v>2005934.67</v>
      </c>
      <c r="S28" s="172">
        <v>2564025.94</v>
      </c>
      <c r="T28" s="172">
        <v>2284980.4700000002</v>
      </c>
      <c r="U28" s="172">
        <v>2284980</v>
      </c>
      <c r="V28" s="172">
        <v>2284980</v>
      </c>
      <c r="W28" s="172">
        <v>2284980</v>
      </c>
      <c r="X28" s="172">
        <f t="shared" si="6"/>
        <v>20434849.079999998</v>
      </c>
      <c r="Y28" s="199"/>
    </row>
    <row r="29" spans="1:25" ht="14.1" customHeight="1" x14ac:dyDescent="0.2">
      <c r="A29" s="154" t="s">
        <v>9</v>
      </c>
      <c r="B29" s="141">
        <v>24395225.170000002</v>
      </c>
      <c r="C29" s="141">
        <v>7108677.9000000004</v>
      </c>
      <c r="D29" s="141">
        <v>11677603.800000001</v>
      </c>
      <c r="E29" s="141">
        <v>11720954.41</v>
      </c>
      <c r="F29" s="141">
        <v>7032206.5899999999</v>
      </c>
      <c r="G29" s="141">
        <v>4969769.9000000004</v>
      </c>
      <c r="H29" s="141">
        <v>0</v>
      </c>
      <c r="I29" s="141">
        <v>0</v>
      </c>
      <c r="J29" s="141">
        <v>0</v>
      </c>
      <c r="K29" s="141">
        <v>8938185</v>
      </c>
      <c r="L29" s="141">
        <v>16335148</v>
      </c>
      <c r="M29" s="141">
        <v>22765266</v>
      </c>
      <c r="N29" s="137">
        <f t="shared" si="5"/>
        <v>114943036.77000001</v>
      </c>
      <c r="O29" s="172">
        <v>5776037</v>
      </c>
      <c r="P29" s="172">
        <v>16763879</v>
      </c>
      <c r="Q29" s="172">
        <f>390936</f>
        <v>390936</v>
      </c>
      <c r="R29" s="172">
        <v>20350854</v>
      </c>
      <c r="S29" s="172">
        <v>9829404</v>
      </c>
      <c r="T29" s="172">
        <v>9627495</v>
      </c>
      <c r="U29" s="172">
        <v>1478630.97</v>
      </c>
      <c r="V29" s="172">
        <v>4851192.08</v>
      </c>
      <c r="W29" s="172">
        <v>3972172.71</v>
      </c>
      <c r="X29" s="172">
        <f t="shared" si="6"/>
        <v>73040600.75999999</v>
      </c>
    </row>
    <row r="30" spans="1:25" ht="20.25" customHeight="1" x14ac:dyDescent="0.2">
      <c r="A30" s="164" t="s">
        <v>14</v>
      </c>
      <c r="B30" s="165">
        <v>0</v>
      </c>
      <c r="C30" s="165">
        <v>752565</v>
      </c>
      <c r="D30" s="165">
        <v>0</v>
      </c>
      <c r="E30" s="165">
        <v>892782</v>
      </c>
      <c r="F30" s="165">
        <v>627438.13</v>
      </c>
      <c r="G30" s="165">
        <v>818085.26</v>
      </c>
      <c r="H30" s="165">
        <v>0</v>
      </c>
      <c r="I30" s="165">
        <v>0</v>
      </c>
      <c r="J30" s="165">
        <v>1017047.1</v>
      </c>
      <c r="K30" s="165">
        <v>1465115.14</v>
      </c>
      <c r="L30" s="165">
        <v>1816168.38</v>
      </c>
      <c r="M30" s="165">
        <v>2738536.16</v>
      </c>
      <c r="N30" s="137">
        <f t="shared" si="5"/>
        <v>10127737.17</v>
      </c>
      <c r="O30" s="172">
        <v>0</v>
      </c>
      <c r="P30" s="172">
        <v>0</v>
      </c>
      <c r="Q30" s="172">
        <v>0</v>
      </c>
      <c r="R30" s="172">
        <v>588769</v>
      </c>
      <c r="S30" s="172">
        <v>566387</v>
      </c>
      <c r="T30" s="172">
        <v>3152973</v>
      </c>
      <c r="U30" s="172">
        <v>885737.39</v>
      </c>
      <c r="V30" s="172">
        <v>1228666.21</v>
      </c>
      <c r="W30" s="172">
        <v>1675979.09</v>
      </c>
      <c r="X30" s="172">
        <f t="shared" si="6"/>
        <v>8098511.6899999995</v>
      </c>
    </row>
    <row r="31" spans="1:25" ht="20.25" customHeight="1" x14ac:dyDescent="0.2">
      <c r="A31" s="164" t="s">
        <v>69</v>
      </c>
      <c r="B31" s="165">
        <v>0</v>
      </c>
      <c r="C31" s="165">
        <v>1225325</v>
      </c>
      <c r="D31" s="165">
        <v>2259263</v>
      </c>
      <c r="E31" s="165">
        <v>2597280</v>
      </c>
      <c r="F31" s="165">
        <v>0</v>
      </c>
      <c r="G31" s="165">
        <v>0</v>
      </c>
      <c r="H31" s="165">
        <f>401985+125235</f>
        <v>527220</v>
      </c>
      <c r="I31" s="165">
        <f>274464+221058</f>
        <v>495522</v>
      </c>
      <c r="J31" s="165">
        <f>370316</f>
        <v>370316</v>
      </c>
      <c r="K31" s="165">
        <v>357250</v>
      </c>
      <c r="L31" s="165">
        <v>1537253</v>
      </c>
      <c r="M31" s="165">
        <v>952637</v>
      </c>
      <c r="N31" s="137">
        <f t="shared" si="5"/>
        <v>10322066</v>
      </c>
      <c r="O31" s="172">
        <v>0</v>
      </c>
      <c r="P31" s="172"/>
      <c r="Q31" s="172"/>
      <c r="R31" s="172"/>
      <c r="S31" s="172">
        <v>1368259</v>
      </c>
      <c r="T31" s="172">
        <v>1275928</v>
      </c>
      <c r="U31" s="172">
        <v>951278</v>
      </c>
      <c r="V31" s="172">
        <v>0</v>
      </c>
      <c r="W31" s="172">
        <v>365274</v>
      </c>
      <c r="X31" s="172">
        <f t="shared" si="6"/>
        <v>3960739</v>
      </c>
    </row>
    <row r="32" spans="1:25" ht="20.399999999999999" customHeight="1" x14ac:dyDescent="0.2">
      <c r="A32" s="154" t="s">
        <v>27</v>
      </c>
      <c r="B32" s="166">
        <v>78322482</v>
      </c>
      <c r="C32" s="166">
        <v>26233914</v>
      </c>
      <c r="D32" s="166">
        <v>15000000</v>
      </c>
      <c r="E32" s="166">
        <v>30525495.32</v>
      </c>
      <c r="F32" s="166">
        <v>19384953.300000001</v>
      </c>
      <c r="G32" s="166">
        <v>81551205.219999999</v>
      </c>
      <c r="H32" s="166">
        <v>80048172.700000003</v>
      </c>
      <c r="I32" s="166">
        <v>60717923</v>
      </c>
      <c r="J32" s="166">
        <v>77690766</v>
      </c>
      <c r="K32" s="166">
        <v>905570</v>
      </c>
      <c r="L32" s="166">
        <v>53111974</v>
      </c>
      <c r="M32" s="166">
        <v>60666834.729999997</v>
      </c>
      <c r="N32" s="137">
        <f t="shared" si="5"/>
        <v>584159290.26999998</v>
      </c>
      <c r="O32" s="172">
        <v>101776212.44</v>
      </c>
      <c r="P32" s="190">
        <v>60543558</v>
      </c>
      <c r="Q32" s="172">
        <v>34605523</v>
      </c>
      <c r="R32" s="172">
        <v>16228692</v>
      </c>
      <c r="S32" s="172">
        <v>74985921</v>
      </c>
      <c r="T32" s="172">
        <v>108347277</v>
      </c>
      <c r="U32" s="172">
        <v>20873961.079999998</v>
      </c>
      <c r="V32" s="172">
        <v>55069457.990000002</v>
      </c>
      <c r="W32" s="172">
        <v>31409721.93</v>
      </c>
      <c r="X32" s="172">
        <f t="shared" si="6"/>
        <v>503840324.44</v>
      </c>
    </row>
    <row r="33" spans="1:25" ht="15" customHeight="1" x14ac:dyDescent="0.2">
      <c r="A33" s="164" t="s">
        <v>15</v>
      </c>
      <c r="B33" s="165">
        <v>988629</v>
      </c>
      <c r="C33" s="165">
        <v>952372</v>
      </c>
      <c r="D33" s="165"/>
      <c r="E33" s="165">
        <v>975064.57</v>
      </c>
      <c r="F33" s="165">
        <v>987275</v>
      </c>
      <c r="G33" s="165">
        <v>1197275.67</v>
      </c>
      <c r="H33" s="165">
        <v>1033342.34</v>
      </c>
      <c r="I33" s="165">
        <v>1070958.29</v>
      </c>
      <c r="J33" s="165">
        <v>987918.29</v>
      </c>
      <c r="K33" s="165"/>
      <c r="L33" s="165"/>
      <c r="M33" s="165"/>
      <c r="N33" s="137">
        <f t="shared" si="5"/>
        <v>8192835.1600000001</v>
      </c>
      <c r="O33" s="172">
        <v>1251270</v>
      </c>
      <c r="P33" s="172">
        <v>1416038.02</v>
      </c>
      <c r="Q33" s="172">
        <v>1210328</v>
      </c>
      <c r="R33" s="172">
        <v>1426148.5</v>
      </c>
      <c r="S33" s="172">
        <v>1123571.92</v>
      </c>
      <c r="T33" s="172">
        <v>1270063.4099999999</v>
      </c>
      <c r="U33" s="172">
        <v>1223796.8500000001</v>
      </c>
      <c r="V33" s="172">
        <v>1214594.93</v>
      </c>
      <c r="W33" s="172">
        <v>1036027.16</v>
      </c>
      <c r="X33" s="172">
        <f t="shared" si="6"/>
        <v>11171838.789999999</v>
      </c>
    </row>
    <row r="34" spans="1:25" x14ac:dyDescent="0.2">
      <c r="A34" s="164" t="s">
        <v>29</v>
      </c>
      <c r="B34" s="141">
        <v>0</v>
      </c>
      <c r="C34" s="141">
        <v>565233</v>
      </c>
      <c r="D34" s="141">
        <v>2573629</v>
      </c>
      <c r="E34" s="141">
        <v>652728.6</v>
      </c>
      <c r="F34" s="141">
        <v>728750</v>
      </c>
      <c r="G34" s="141"/>
      <c r="H34" s="141"/>
      <c r="I34" s="141"/>
      <c r="J34" s="141">
        <v>2573162</v>
      </c>
      <c r="K34" s="141"/>
      <c r="L34" s="141"/>
      <c r="M34" s="141"/>
      <c r="N34" s="137">
        <f t="shared" si="5"/>
        <v>7093502.5999999996</v>
      </c>
      <c r="O34" s="172">
        <v>0</v>
      </c>
      <c r="P34" s="172">
        <v>285620</v>
      </c>
      <c r="Q34" s="172">
        <v>0</v>
      </c>
      <c r="R34" s="172">
        <v>352674</v>
      </c>
      <c r="S34" s="172">
        <v>658987</v>
      </c>
      <c r="T34" s="172">
        <v>1260353</v>
      </c>
      <c r="U34" s="172">
        <v>457268</v>
      </c>
      <c r="V34" s="172">
        <v>127210</v>
      </c>
      <c r="W34" s="172">
        <v>745274</v>
      </c>
      <c r="X34" s="172">
        <f t="shared" si="6"/>
        <v>3887386</v>
      </c>
    </row>
    <row r="35" spans="1:25" x14ac:dyDescent="0.2">
      <c r="A35" s="164" t="s">
        <v>16</v>
      </c>
      <c r="B35" s="141">
        <v>237152.74</v>
      </c>
      <c r="C35" s="141">
        <v>214360.44</v>
      </c>
      <c r="D35" s="141">
        <v>200405.07</v>
      </c>
      <c r="E35" s="141">
        <f>226872.56+44.39</f>
        <v>226916.95</v>
      </c>
      <c r="F35" s="141">
        <f>175899.52+48789.33</f>
        <v>224688.84999999998</v>
      </c>
      <c r="G35" s="141">
        <f>175899.52+28946.39+39.56</f>
        <v>204885.46999999997</v>
      </c>
      <c r="H35" s="141">
        <v>0</v>
      </c>
      <c r="I35" s="141">
        <v>0</v>
      </c>
      <c r="J35" s="141">
        <v>150407.17000000001</v>
      </c>
      <c r="K35" s="141">
        <v>301425</v>
      </c>
      <c r="L35" s="141">
        <v>320132</v>
      </c>
      <c r="M35" s="141">
        <v>555135</v>
      </c>
      <c r="N35" s="137">
        <f t="shared" si="5"/>
        <v>2635508.6899999995</v>
      </c>
      <c r="O35" s="172">
        <v>71794</v>
      </c>
      <c r="P35" s="172">
        <v>71794</v>
      </c>
      <c r="Q35" s="172">
        <v>240407</v>
      </c>
      <c r="R35" s="172">
        <v>270457</v>
      </c>
      <c r="S35" s="172">
        <v>239547</v>
      </c>
      <c r="T35" s="172">
        <v>530068</v>
      </c>
      <c r="U35" s="172">
        <v>527271</v>
      </c>
      <c r="V35" s="172">
        <v>522271</v>
      </c>
      <c r="W35" s="172">
        <v>515687</v>
      </c>
      <c r="X35" s="172">
        <f t="shared" si="6"/>
        <v>2989296</v>
      </c>
      <c r="Y35" s="160"/>
    </row>
    <row r="36" spans="1:25" x14ac:dyDescent="0.2">
      <c r="A36" s="164" t="s">
        <v>18</v>
      </c>
      <c r="B36" s="165">
        <v>3589625</v>
      </c>
      <c r="C36" s="165">
        <v>283615</v>
      </c>
      <c r="D36" s="165">
        <v>2997045</v>
      </c>
      <c r="E36" s="165">
        <v>1576332.51</v>
      </c>
      <c r="F36" s="165">
        <v>4840053.96</v>
      </c>
      <c r="G36" s="165">
        <v>3582562.06</v>
      </c>
      <c r="H36" s="165">
        <v>2758232</v>
      </c>
      <c r="I36" s="165">
        <v>3519544</v>
      </c>
      <c r="J36" s="165">
        <v>5390165.0599999996</v>
      </c>
      <c r="K36" s="165">
        <v>1575253</v>
      </c>
      <c r="L36" s="165">
        <v>7574885</v>
      </c>
      <c r="M36" s="165">
        <v>4173022</v>
      </c>
      <c r="N36" s="137">
        <f t="shared" si="5"/>
        <v>41860334.589999996</v>
      </c>
      <c r="O36" s="172">
        <f>1221003+63380+156913+45817+328224</f>
        <v>1815337</v>
      </c>
      <c r="P36" s="172">
        <f>581737+321860</f>
        <v>903597</v>
      </c>
      <c r="Q36" s="172">
        <v>2939019</v>
      </c>
      <c r="R36" s="172">
        <v>1550255</v>
      </c>
      <c r="S36" s="172">
        <v>2258675</v>
      </c>
      <c r="T36" s="172">
        <v>3250275</v>
      </c>
      <c r="U36" s="172">
        <v>2285196</v>
      </c>
      <c r="V36" s="172">
        <v>1820681</v>
      </c>
      <c r="W36" s="172">
        <v>1625870</v>
      </c>
      <c r="X36" s="172">
        <f t="shared" si="6"/>
        <v>18448905</v>
      </c>
    </row>
    <row r="37" spans="1:25" x14ac:dyDescent="0.2">
      <c r="A37" s="164" t="s">
        <v>31</v>
      </c>
      <c r="B37" s="163">
        <v>105019</v>
      </c>
      <c r="C37" s="163">
        <v>1252362</v>
      </c>
      <c r="D37" s="163">
        <v>0</v>
      </c>
      <c r="E37" s="163">
        <v>972550</v>
      </c>
      <c r="F37" s="163">
        <v>890272</v>
      </c>
      <c r="G37" s="163"/>
      <c r="H37" s="163">
        <v>505349.2</v>
      </c>
      <c r="I37" s="163">
        <v>516642.43</v>
      </c>
      <c r="J37" s="163">
        <v>716689.38</v>
      </c>
      <c r="K37" s="163">
        <v>683951.6</v>
      </c>
      <c r="L37" s="163">
        <v>557516.48</v>
      </c>
      <c r="M37" s="163">
        <v>567794.89</v>
      </c>
      <c r="N37" s="137">
        <f t="shared" si="5"/>
        <v>6768146.9799999995</v>
      </c>
      <c r="O37" s="172">
        <v>565274</v>
      </c>
      <c r="P37" s="172">
        <v>625275</v>
      </c>
      <c r="Q37" s="172"/>
      <c r="R37" s="172">
        <v>1003428.4</v>
      </c>
      <c r="S37" s="172">
        <v>921944</v>
      </c>
      <c r="T37" s="172">
        <v>751711</v>
      </c>
      <c r="U37" s="172">
        <v>657271</v>
      </c>
      <c r="V37" s="172">
        <v>1248113</v>
      </c>
      <c r="W37" s="172">
        <v>1394317</v>
      </c>
      <c r="X37" s="172">
        <f t="shared" si="6"/>
        <v>7167333.4000000004</v>
      </c>
    </row>
    <row r="38" spans="1:25" x14ac:dyDescent="0.2">
      <c r="A38" s="164" t="s">
        <v>19</v>
      </c>
      <c r="B38" s="165">
        <v>41214</v>
      </c>
      <c r="C38" s="165">
        <v>249323</v>
      </c>
      <c r="D38" s="165">
        <v>164313</v>
      </c>
      <c r="E38" s="165">
        <v>180352</v>
      </c>
      <c r="F38" s="165">
        <v>352760</v>
      </c>
      <c r="G38" s="165"/>
      <c r="H38" s="165">
        <v>1120253</v>
      </c>
      <c r="I38" s="165">
        <v>0</v>
      </c>
      <c r="J38" s="165">
        <v>872856</v>
      </c>
      <c r="K38" s="165">
        <v>257265</v>
      </c>
      <c r="L38" s="165">
        <v>0</v>
      </c>
      <c r="M38" s="165">
        <f>940158.8+423192</f>
        <v>1363350.8</v>
      </c>
      <c r="N38" s="137">
        <f t="shared" si="5"/>
        <v>4601686.8</v>
      </c>
      <c r="O38" s="172">
        <v>752237</v>
      </c>
      <c r="P38" s="172">
        <v>525270</v>
      </c>
      <c r="Q38" s="172">
        <v>325250</v>
      </c>
      <c r="R38" s="172">
        <v>982571</v>
      </c>
      <c r="S38" s="172">
        <v>1250365</v>
      </c>
      <c r="T38" s="172">
        <v>1650275</v>
      </c>
      <c r="U38" s="172">
        <v>2271327</v>
      </c>
      <c r="V38" s="172">
        <v>1325880</v>
      </c>
      <c r="W38" s="172">
        <v>1921250</v>
      </c>
      <c r="X38" s="172">
        <f t="shared" si="6"/>
        <v>11004425</v>
      </c>
    </row>
    <row r="39" spans="1:25" x14ac:dyDescent="0.2">
      <c r="A39" s="164" t="s">
        <v>30</v>
      </c>
      <c r="B39" s="165">
        <v>218865</v>
      </c>
      <c r="C39" s="165">
        <v>147463</v>
      </c>
      <c r="D39" s="165">
        <v>139188</v>
      </c>
      <c r="E39" s="165">
        <v>140275</v>
      </c>
      <c r="F39" s="165">
        <v>141327</v>
      </c>
      <c r="G39" s="165"/>
      <c r="H39" s="165">
        <v>7745</v>
      </c>
      <c r="I39" s="165">
        <v>8490</v>
      </c>
      <c r="J39" s="165">
        <v>8456</v>
      </c>
      <c r="K39" s="165">
        <v>8475.16</v>
      </c>
      <c r="L39" s="165">
        <v>8394.64</v>
      </c>
      <c r="M39" s="165">
        <v>8396.81</v>
      </c>
      <c r="N39" s="137">
        <f t="shared" si="5"/>
        <v>837075.6100000001</v>
      </c>
      <c r="O39" s="172">
        <f>6945.16+98716</f>
        <v>105661.16</v>
      </c>
      <c r="P39" s="172">
        <f>155901+6946.15</f>
        <v>162847.15</v>
      </c>
      <c r="Q39" s="172">
        <f>168572.39+6381.06</f>
        <v>174953.45</v>
      </c>
      <c r="R39" s="172">
        <v>120652</v>
      </c>
      <c r="S39" s="172">
        <v>118968</v>
      </c>
      <c r="T39" s="172">
        <v>120187</v>
      </c>
      <c r="U39" s="172">
        <v>130158</v>
      </c>
      <c r="V39" s="172">
        <v>115270</v>
      </c>
      <c r="W39" s="172">
        <v>118217</v>
      </c>
      <c r="X39" s="172">
        <f t="shared" si="6"/>
        <v>1166913.76</v>
      </c>
    </row>
    <row r="40" spans="1:25" x14ac:dyDescent="0.2">
      <c r="A40" s="164" t="s">
        <v>20</v>
      </c>
      <c r="B40" s="163">
        <v>252758</v>
      </c>
      <c r="C40" s="163"/>
      <c r="D40" s="163"/>
      <c r="E40" s="163">
        <v>50772</v>
      </c>
      <c r="F40" s="163">
        <v>120772</v>
      </c>
      <c r="G40" s="163">
        <v>72117</v>
      </c>
      <c r="H40" s="163">
        <v>115272</v>
      </c>
      <c r="I40" s="163">
        <v>185230</v>
      </c>
      <c r="J40" s="163">
        <v>175116</v>
      </c>
      <c r="K40" s="163">
        <v>135278</v>
      </c>
      <c r="L40" s="163">
        <v>225352</v>
      </c>
      <c r="M40" s="163">
        <v>195237</v>
      </c>
      <c r="N40" s="137">
        <f t="shared" si="5"/>
        <v>1527904</v>
      </c>
      <c r="O40" s="172">
        <v>75257</v>
      </c>
      <c r="P40" s="172">
        <v>140285</v>
      </c>
      <c r="Q40" s="172">
        <v>125275</v>
      </c>
      <c r="R40" s="172">
        <v>130257</v>
      </c>
      <c r="S40" s="172">
        <v>101253</v>
      </c>
      <c r="T40" s="172">
        <v>85276</v>
      </c>
      <c r="U40" s="172">
        <v>252685</v>
      </c>
      <c r="V40" s="172">
        <v>265287</v>
      </c>
      <c r="W40" s="172">
        <v>278250</v>
      </c>
      <c r="X40" s="172">
        <f t="shared" si="6"/>
        <v>1453825</v>
      </c>
    </row>
    <row r="41" spans="1:25" x14ac:dyDescent="0.2">
      <c r="A41" s="154" t="s">
        <v>40</v>
      </c>
      <c r="B41" s="141">
        <v>2278158</v>
      </c>
      <c r="C41" s="141">
        <v>1270892</v>
      </c>
      <c r="D41" s="141">
        <v>988623</v>
      </c>
      <c r="E41" s="141">
        <v>1278250</v>
      </c>
      <c r="F41" s="141">
        <v>850273</v>
      </c>
      <c r="G41" s="141">
        <v>895265</v>
      </c>
      <c r="H41" s="141">
        <v>962530</v>
      </c>
      <c r="I41" s="141">
        <v>1162650</v>
      </c>
      <c r="J41" s="141">
        <v>1727325</v>
      </c>
      <c r="K41" s="141">
        <v>0</v>
      </c>
      <c r="L41" s="141">
        <v>0</v>
      </c>
      <c r="M41" s="141">
        <v>0</v>
      </c>
      <c r="N41" s="137">
        <f t="shared" si="5"/>
        <v>11413966</v>
      </c>
      <c r="O41" s="172">
        <v>1127250</v>
      </c>
      <c r="P41" s="172">
        <v>1659258</v>
      </c>
      <c r="Q41" s="172">
        <v>652785</v>
      </c>
      <c r="R41" s="172">
        <v>1217253</v>
      </c>
      <c r="S41" s="172">
        <v>1156238</v>
      </c>
      <c r="T41" s="172">
        <v>1965274</v>
      </c>
      <c r="U41" s="172">
        <v>1680271</v>
      </c>
      <c r="V41" s="172">
        <v>1240271</v>
      </c>
      <c r="W41" s="172">
        <v>1220862</v>
      </c>
      <c r="X41" s="172">
        <f t="shared" si="6"/>
        <v>11919462</v>
      </c>
    </row>
    <row r="42" spans="1:25" x14ac:dyDescent="0.2">
      <c r="A42" s="195" t="s">
        <v>17</v>
      </c>
      <c r="B42" s="196">
        <v>86821</v>
      </c>
      <c r="C42" s="196">
        <f>526967-C22</f>
        <v>33842</v>
      </c>
      <c r="D42" s="196">
        <v>162653</v>
      </c>
      <c r="E42" s="196">
        <v>192072</v>
      </c>
      <c r="F42" s="196">
        <v>172278</v>
      </c>
      <c r="G42" s="196">
        <v>98250</v>
      </c>
      <c r="H42" s="196">
        <v>101250</v>
      </c>
      <c r="I42" s="196">
        <v>82520.320000000007</v>
      </c>
      <c r="J42" s="196">
        <v>75325</v>
      </c>
      <c r="K42" s="196">
        <v>75265</v>
      </c>
      <c r="L42" s="196">
        <v>88520</v>
      </c>
      <c r="M42" s="196">
        <v>96257</v>
      </c>
      <c r="N42" s="197">
        <f t="shared" si="5"/>
        <v>1265053.32</v>
      </c>
      <c r="O42" s="198">
        <v>45267</v>
      </c>
      <c r="P42" s="198">
        <v>70257</v>
      </c>
      <c r="Q42" s="198">
        <v>78275</v>
      </c>
      <c r="R42" s="198">
        <v>92257</v>
      </c>
      <c r="S42" s="198">
        <v>99325</v>
      </c>
      <c r="T42" s="198">
        <v>78253</v>
      </c>
      <c r="U42" s="198">
        <v>95271</v>
      </c>
      <c r="V42" s="198"/>
      <c r="W42" s="198">
        <v>65278</v>
      </c>
      <c r="X42" s="172">
        <f t="shared" si="6"/>
        <v>624183</v>
      </c>
    </row>
    <row r="43" spans="1:25" x14ac:dyDescent="0.2">
      <c r="A43" s="154" t="s">
        <v>28</v>
      </c>
      <c r="B43" s="141">
        <v>319651.19</v>
      </c>
      <c r="C43" s="141">
        <v>319651.19</v>
      </c>
      <c r="D43" s="141">
        <v>4478882.84</v>
      </c>
      <c r="E43" s="141">
        <v>2128182.7000000002</v>
      </c>
      <c r="F43" s="141">
        <v>2114038.5</v>
      </c>
      <c r="G43" s="141">
        <v>4478882.84</v>
      </c>
      <c r="H43" s="141">
        <v>319651.19</v>
      </c>
      <c r="I43" s="141">
        <v>319651.19</v>
      </c>
      <c r="J43" s="141">
        <v>4478883</v>
      </c>
      <c r="K43" s="141">
        <v>2128182.7000000002</v>
      </c>
      <c r="L43" s="141">
        <v>2214038.5</v>
      </c>
      <c r="M43" s="141">
        <v>4478882.84</v>
      </c>
      <c r="N43" s="137">
        <f t="shared" si="5"/>
        <v>27778578.68</v>
      </c>
      <c r="O43" s="161">
        <v>319651.19</v>
      </c>
      <c r="P43" s="172">
        <v>319651.19</v>
      </c>
      <c r="Q43" s="172">
        <v>3217259</v>
      </c>
      <c r="R43" s="172">
        <v>2157994</v>
      </c>
      <c r="S43" s="172">
        <v>2114039</v>
      </c>
      <c r="T43" s="172">
        <v>4472063</v>
      </c>
      <c r="U43" s="172">
        <v>319651.19</v>
      </c>
      <c r="V43" s="172">
        <v>319651.19</v>
      </c>
      <c r="W43" s="172">
        <v>4485862.03</v>
      </c>
      <c r="X43" s="172">
        <f t="shared" si="6"/>
        <v>17725821.789999999</v>
      </c>
    </row>
    <row r="44" spans="1:25" hidden="1" x14ac:dyDescent="0.2">
      <c r="A44" s="154" t="s">
        <v>4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37">
        <f t="shared" si="5"/>
        <v>0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>
        <f t="shared" si="6"/>
        <v>0</v>
      </c>
    </row>
    <row r="45" spans="1:25" x14ac:dyDescent="0.2">
      <c r="A45" s="154" t="s">
        <v>71</v>
      </c>
      <c r="B45" s="165">
        <v>0</v>
      </c>
      <c r="C45" s="165">
        <v>2140</v>
      </c>
      <c r="D45" s="165">
        <v>23996.38</v>
      </c>
      <c r="E45" s="165">
        <v>0</v>
      </c>
      <c r="F45" s="165">
        <v>2455192.7599999998</v>
      </c>
      <c r="G45" s="165">
        <v>0</v>
      </c>
      <c r="H45" s="165">
        <v>0</v>
      </c>
      <c r="I45" s="165">
        <v>0</v>
      </c>
      <c r="J45" s="165">
        <v>0</v>
      </c>
      <c r="K45" s="165">
        <v>12680.36</v>
      </c>
      <c r="L45" s="165">
        <v>0</v>
      </c>
      <c r="M45" s="165">
        <v>12366.64</v>
      </c>
      <c r="N45" s="137">
        <f t="shared" si="5"/>
        <v>2506376.1399999997</v>
      </c>
      <c r="O45" s="172">
        <v>378452</v>
      </c>
      <c r="P45" s="172">
        <v>0</v>
      </c>
      <c r="Q45" s="172">
        <v>506329.88</v>
      </c>
      <c r="R45" s="172">
        <v>1180043</v>
      </c>
      <c r="S45" s="172">
        <v>1814808.59</v>
      </c>
      <c r="T45" s="172">
        <v>3999051.92</v>
      </c>
      <c r="U45" s="172">
        <v>460747.21</v>
      </c>
      <c r="V45" s="172">
        <v>175998.88</v>
      </c>
      <c r="W45" s="172">
        <v>2934.8</v>
      </c>
      <c r="X45" s="172">
        <f t="shared" si="6"/>
        <v>8518366.2800000012</v>
      </c>
    </row>
    <row r="46" spans="1:25" hidden="1" x14ac:dyDescent="0.2">
      <c r="A46" s="154" t="s">
        <v>5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37">
        <f t="shared" si="5"/>
        <v>0</v>
      </c>
      <c r="O46" s="172"/>
      <c r="P46" s="172"/>
      <c r="Q46" s="172"/>
      <c r="R46" s="172"/>
      <c r="S46" s="172"/>
      <c r="T46" s="172"/>
      <c r="U46" s="172"/>
      <c r="V46" s="172"/>
      <c r="W46" s="172"/>
      <c r="X46" s="172">
        <f t="shared" si="6"/>
        <v>0</v>
      </c>
    </row>
    <row r="47" spans="1:25" hidden="1" x14ac:dyDescent="0.2">
      <c r="A47" s="154" t="s">
        <v>34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37">
        <f t="shared" si="5"/>
        <v>0</v>
      </c>
      <c r="O47" s="172"/>
      <c r="P47" s="172"/>
      <c r="Q47" s="172"/>
      <c r="R47" s="172"/>
      <c r="S47" s="172"/>
      <c r="T47" s="172"/>
      <c r="U47" s="172"/>
      <c r="V47" s="172"/>
      <c r="W47" s="172"/>
      <c r="X47" s="172">
        <f t="shared" si="6"/>
        <v>0</v>
      </c>
    </row>
    <row r="48" spans="1:25" x14ac:dyDescent="0.2">
      <c r="A48" s="154" t="s">
        <v>35</v>
      </c>
      <c r="B48" s="141">
        <f>1676747.48+885111.25</f>
        <v>2561858.73</v>
      </c>
      <c r="C48" s="141">
        <f>1676717.48+904294.35</f>
        <v>2581011.83</v>
      </c>
      <c r="D48" s="141">
        <f>1676717.48+902752.9</f>
        <v>2579470.38</v>
      </c>
      <c r="E48" s="141">
        <v>2581012</v>
      </c>
      <c r="F48" s="141">
        <v>2572720</v>
      </c>
      <c r="G48" s="141">
        <v>2568721</v>
      </c>
      <c r="H48" s="141">
        <f>533354.77+436544.19+555496.88+626437.5+836746.95</f>
        <v>2988580.29</v>
      </c>
      <c r="I48" s="141">
        <f>836746.95+626437.5+555496.68+436544.19+557743.03</f>
        <v>3012968.3499999996</v>
      </c>
      <c r="J48" s="141">
        <f>2568666+496005.93</f>
        <v>3064671.93</v>
      </c>
      <c r="K48" s="141">
        <f>996908+2018681</f>
        <v>3015589</v>
      </c>
      <c r="L48" s="141">
        <f>1015225+2018681.13</f>
        <v>3033906.13</v>
      </c>
      <c r="M48" s="141">
        <v>2081325</v>
      </c>
      <c r="N48" s="137">
        <f t="shared" si="5"/>
        <v>32641834.639999997</v>
      </c>
      <c r="O48" s="172">
        <v>2642237</v>
      </c>
      <c r="P48" s="172">
        <v>2642237</v>
      </c>
      <c r="Q48" s="172">
        <v>2678267</v>
      </c>
      <c r="R48" s="172">
        <f>1005359+2081325</f>
        <v>3086684</v>
      </c>
      <c r="S48" s="172">
        <f>1001493.74+2081325</f>
        <v>3082818.74</v>
      </c>
      <c r="T48" s="172">
        <f>1007168.99+2081325</f>
        <v>3088493.99</v>
      </c>
      <c r="U48" s="172">
        <v>3088494</v>
      </c>
      <c r="V48" s="172">
        <v>3088494</v>
      </c>
      <c r="W48" s="172">
        <v>3088494</v>
      </c>
      <c r="X48" s="172">
        <f t="shared" si="6"/>
        <v>26486219.73</v>
      </c>
    </row>
    <row r="49" spans="1:25" x14ac:dyDescent="0.2">
      <c r="A49" s="154" t="s">
        <v>36</v>
      </c>
      <c r="B49" s="163">
        <v>2758732.18</v>
      </c>
      <c r="C49" s="163">
        <v>4524784.22</v>
      </c>
      <c r="D49" s="163">
        <v>4972784.22</v>
      </c>
      <c r="E49" s="163">
        <v>5541464.3600000003</v>
      </c>
      <c r="F49" s="163">
        <v>5049364.3</v>
      </c>
      <c r="G49" s="163">
        <v>4354453.72</v>
      </c>
      <c r="H49" s="163">
        <v>3605658.83</v>
      </c>
      <c r="I49" s="163">
        <v>4242704.9800000004</v>
      </c>
      <c r="J49" s="163">
        <v>3748181.14</v>
      </c>
      <c r="K49" s="163">
        <v>2146761.85</v>
      </c>
      <c r="L49" s="163">
        <v>2795289.03</v>
      </c>
      <c r="M49" s="163">
        <v>3147087.28</v>
      </c>
      <c r="N49" s="137">
        <f t="shared" si="5"/>
        <v>46887266.110000007</v>
      </c>
      <c r="O49" s="188">
        <v>3147087.28</v>
      </c>
      <c r="P49" s="172">
        <v>3952117.71</v>
      </c>
      <c r="Q49" s="172">
        <v>3250275</v>
      </c>
      <c r="R49" s="172">
        <v>4367710.8099999996</v>
      </c>
      <c r="S49" s="172">
        <v>4208841.1100000003</v>
      </c>
      <c r="T49" s="172">
        <v>3872658.31</v>
      </c>
      <c r="U49" s="172">
        <v>3804751.14</v>
      </c>
      <c r="V49" s="172">
        <v>3440193.86</v>
      </c>
      <c r="W49" s="172">
        <v>2057284</v>
      </c>
      <c r="X49" s="172">
        <f t="shared" si="6"/>
        <v>32100919.219999999</v>
      </c>
    </row>
    <row r="50" spans="1:25" x14ac:dyDescent="0.2">
      <c r="A50" s="154" t="s">
        <v>39</v>
      </c>
      <c r="B50" s="141">
        <v>0</v>
      </c>
      <c r="C50" s="141">
        <v>0</v>
      </c>
      <c r="D50" s="141">
        <v>2855113.99</v>
      </c>
      <c r="E50" s="141">
        <v>718118.78</v>
      </c>
      <c r="F50" s="141">
        <v>2208125.4700000002</v>
      </c>
      <c r="G50" s="141">
        <v>2736926.95</v>
      </c>
      <c r="H50" s="141">
        <v>0</v>
      </c>
      <c r="I50" s="141">
        <v>0</v>
      </c>
      <c r="J50" s="141">
        <v>0</v>
      </c>
      <c r="K50" s="141">
        <v>0</v>
      </c>
      <c r="L50" s="141">
        <v>1043113.46</v>
      </c>
      <c r="M50" s="141">
        <v>0</v>
      </c>
      <c r="N50" s="137">
        <f t="shared" si="5"/>
        <v>9561398.6500000022</v>
      </c>
      <c r="O50" s="172">
        <v>0</v>
      </c>
      <c r="P50" s="172">
        <v>0</v>
      </c>
      <c r="Q50" s="172">
        <v>0</v>
      </c>
      <c r="R50" s="172">
        <v>948413.99</v>
      </c>
      <c r="S50" s="172">
        <v>2540857.4</v>
      </c>
      <c r="T50" s="172">
        <v>0</v>
      </c>
      <c r="U50" s="172">
        <v>0</v>
      </c>
      <c r="V50" s="172">
        <v>2324885.41</v>
      </c>
      <c r="W50" s="172">
        <v>70583.86</v>
      </c>
      <c r="X50" s="172">
        <f t="shared" si="6"/>
        <v>5884740.6600000001</v>
      </c>
    </row>
    <row r="51" spans="1:25" x14ac:dyDescent="0.2">
      <c r="A51" s="154" t="s">
        <v>70</v>
      </c>
      <c r="B51" s="141">
        <v>0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  <c r="J51" s="141">
        <v>0</v>
      </c>
      <c r="K51" s="141">
        <v>0</v>
      </c>
      <c r="L51" s="141">
        <v>0</v>
      </c>
      <c r="M51" s="141">
        <v>0</v>
      </c>
      <c r="N51" s="137">
        <f t="shared" si="5"/>
        <v>0</v>
      </c>
      <c r="O51" s="172">
        <v>0</v>
      </c>
      <c r="P51" s="172"/>
      <c r="Q51" s="172"/>
      <c r="R51" s="172"/>
      <c r="S51" s="172"/>
      <c r="T51" s="172">
        <v>0</v>
      </c>
      <c r="U51" s="172">
        <v>0</v>
      </c>
      <c r="V51" s="172"/>
      <c r="W51" s="172"/>
      <c r="X51" s="172">
        <f t="shared" si="6"/>
        <v>0</v>
      </c>
    </row>
    <row r="52" spans="1:25" x14ac:dyDescent="0.2">
      <c r="A52" s="164" t="s">
        <v>78</v>
      </c>
      <c r="B52" s="141">
        <v>3353610</v>
      </c>
      <c r="C52" s="141">
        <v>4710134</v>
      </c>
      <c r="D52" s="141">
        <v>3843687</v>
      </c>
      <c r="E52" s="141">
        <v>5274275</v>
      </c>
      <c r="F52" s="141">
        <v>2527162</v>
      </c>
      <c r="G52" s="141">
        <v>3527270</v>
      </c>
      <c r="H52" s="141">
        <v>3652271</v>
      </c>
      <c r="I52" s="141">
        <v>1297252</v>
      </c>
      <c r="J52" s="141">
        <v>3896257</v>
      </c>
      <c r="K52" s="141">
        <v>2275383</v>
      </c>
      <c r="L52" s="141">
        <v>3579285</v>
      </c>
      <c r="M52" s="141">
        <v>4546418.22</v>
      </c>
      <c r="N52" s="137">
        <f t="shared" si="5"/>
        <v>42483004.219999999</v>
      </c>
      <c r="O52" s="182">
        <v>2750279</v>
      </c>
      <c r="P52" s="172">
        <v>2121352</v>
      </c>
      <c r="Q52" s="172">
        <v>959275</v>
      </c>
      <c r="R52" s="172">
        <v>1261879</v>
      </c>
      <c r="S52" s="172">
        <v>4259650</v>
      </c>
      <c r="T52" s="172">
        <v>4795269</v>
      </c>
      <c r="U52" s="172">
        <v>4825169</v>
      </c>
      <c r="V52" s="172">
        <v>2748652</v>
      </c>
      <c r="W52" s="172">
        <v>3578274</v>
      </c>
      <c r="X52" s="172">
        <f t="shared" si="6"/>
        <v>27299799</v>
      </c>
    </row>
    <row r="53" spans="1:25" x14ac:dyDescent="0.2">
      <c r="A53" s="164" t="s">
        <v>103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137"/>
      <c r="P53" s="172"/>
      <c r="Q53" s="172"/>
      <c r="R53" s="172"/>
      <c r="S53" s="172"/>
      <c r="T53" s="172"/>
      <c r="U53" s="172">
        <v>701381.24</v>
      </c>
      <c r="V53" s="172">
        <v>0</v>
      </c>
      <c r="W53" s="172">
        <v>766850.5</v>
      </c>
      <c r="X53" s="172">
        <f t="shared" si="6"/>
        <v>1468231.74</v>
      </c>
    </row>
    <row r="54" spans="1:25" x14ac:dyDescent="0.2">
      <c r="A54" s="176" t="s">
        <v>6</v>
      </c>
      <c r="B54" s="177">
        <f t="shared" ref="B54:M54" si="7">SUM(B20:B52)</f>
        <v>191789578.23999998</v>
      </c>
      <c r="C54" s="177">
        <f t="shared" si="7"/>
        <v>89519065.25999999</v>
      </c>
      <c r="D54" s="177">
        <f t="shared" si="7"/>
        <v>97627219.87999998</v>
      </c>
      <c r="E54" s="177">
        <f t="shared" si="7"/>
        <v>164280760.96999997</v>
      </c>
      <c r="F54" s="177">
        <f t="shared" si="7"/>
        <v>94239724.650000006</v>
      </c>
      <c r="G54" s="177">
        <f t="shared" si="7"/>
        <v>165761814.97999996</v>
      </c>
      <c r="H54" s="177">
        <f t="shared" si="7"/>
        <v>144533164.59000003</v>
      </c>
      <c r="I54" s="177">
        <f t="shared" si="7"/>
        <v>120674883.29000001</v>
      </c>
      <c r="J54" s="177">
        <f t="shared" si="7"/>
        <v>159459014.54999998</v>
      </c>
      <c r="K54" s="177">
        <f t="shared" si="7"/>
        <v>62416959.93</v>
      </c>
      <c r="L54" s="177">
        <f t="shared" si="7"/>
        <v>139365810.28</v>
      </c>
      <c r="M54" s="177">
        <f t="shared" si="7"/>
        <v>145888488.72999999</v>
      </c>
      <c r="N54" s="137">
        <f>B54+C54+D54</f>
        <v>378935863.38</v>
      </c>
      <c r="O54" s="192">
        <f t="shared" ref="O54:W54" si="8">SUM(O20:O52)</f>
        <v>168698637.14999998</v>
      </c>
      <c r="P54" s="192">
        <f t="shared" si="8"/>
        <v>197500170.47000003</v>
      </c>
      <c r="Q54" s="192">
        <f t="shared" si="8"/>
        <v>91290494.700000003</v>
      </c>
      <c r="R54" s="192">
        <f t="shared" si="8"/>
        <v>105901391.71000001</v>
      </c>
      <c r="S54" s="192">
        <f t="shared" si="8"/>
        <v>166244962.98000002</v>
      </c>
      <c r="T54" s="192">
        <f t="shared" si="8"/>
        <v>206705046.63999999</v>
      </c>
      <c r="U54" s="192">
        <f t="shared" si="8"/>
        <v>90324552.75999999</v>
      </c>
      <c r="V54" s="192">
        <f t="shared" si="8"/>
        <v>119576933.92999999</v>
      </c>
      <c r="W54" s="192">
        <f t="shared" si="8"/>
        <v>182876695.10000002</v>
      </c>
      <c r="X54" s="172">
        <f t="shared" si="6"/>
        <v>1329118885.4400001</v>
      </c>
    </row>
    <row r="55" spans="1:25" x14ac:dyDescent="0.2">
      <c r="A55" s="178" t="s">
        <v>7</v>
      </c>
      <c r="B55" s="179">
        <f t="shared" ref="B55:W55" si="9">B17-B54</f>
        <v>213097127.67999998</v>
      </c>
      <c r="C55" s="179">
        <f t="shared" si="9"/>
        <v>209666019.34999996</v>
      </c>
      <c r="D55" s="179">
        <f t="shared" si="9"/>
        <v>227148926.78999996</v>
      </c>
      <c r="E55" s="179">
        <f t="shared" si="9"/>
        <v>144367963.65999997</v>
      </c>
      <c r="F55" s="179">
        <f t="shared" si="9"/>
        <v>137176261.86999995</v>
      </c>
      <c r="G55" s="179">
        <f t="shared" si="9"/>
        <v>214142243.52999997</v>
      </c>
      <c r="H55" s="179">
        <f t="shared" si="9"/>
        <v>142919987.81999993</v>
      </c>
      <c r="I55" s="179">
        <f t="shared" si="9"/>
        <v>99217466.389999911</v>
      </c>
      <c r="J55" s="179">
        <f t="shared" si="9"/>
        <v>199292231.67999992</v>
      </c>
      <c r="K55" s="179">
        <f t="shared" si="9"/>
        <v>201082347.33999991</v>
      </c>
      <c r="L55" s="179">
        <f t="shared" si="9"/>
        <v>131907332.96999988</v>
      </c>
      <c r="M55" s="179">
        <f t="shared" si="9"/>
        <v>147461259.51999983</v>
      </c>
      <c r="N55" s="178">
        <f t="shared" si="9"/>
        <v>1766845028.5199995</v>
      </c>
      <c r="O55" s="192">
        <f t="shared" si="9"/>
        <v>272205395.46999991</v>
      </c>
      <c r="P55" s="192">
        <f t="shared" si="9"/>
        <v>169380865.02999985</v>
      </c>
      <c r="Q55" s="192">
        <f t="shared" si="9"/>
        <v>205579233.55999988</v>
      </c>
      <c r="R55" s="192">
        <f t="shared" si="9"/>
        <v>198394712.12999991</v>
      </c>
      <c r="S55" s="192">
        <f t="shared" si="9"/>
        <v>142017355.6099999</v>
      </c>
      <c r="T55" s="192">
        <f t="shared" si="9"/>
        <v>200583387.39999998</v>
      </c>
      <c r="U55" s="192">
        <f t="shared" si="9"/>
        <v>210813965.17000002</v>
      </c>
      <c r="V55" s="192">
        <f t="shared" si="9"/>
        <v>159366950.56999999</v>
      </c>
      <c r="W55" s="192">
        <f t="shared" si="9"/>
        <v>212296749.56</v>
      </c>
      <c r="X55" s="172">
        <f t="shared" si="6"/>
        <v>1770638614.4999993</v>
      </c>
    </row>
    <row r="57" spans="1:25" hidden="1" x14ac:dyDescent="0.2">
      <c r="A57" s="160"/>
      <c r="R57" s="182">
        <v>184743528.05000001</v>
      </c>
      <c r="S57" s="182">
        <v>128366171.58</v>
      </c>
      <c r="T57" s="182">
        <v>200583387.72</v>
      </c>
      <c r="U57" s="182">
        <v>210813964.91999999</v>
      </c>
      <c r="V57" s="182">
        <v>159366950.86000001</v>
      </c>
      <c r="W57" s="182">
        <v>212296750.03999999</v>
      </c>
      <c r="Y57" s="160"/>
    </row>
    <row r="58" spans="1:25" hidden="1" x14ac:dyDescent="0.2">
      <c r="J58" s="182" t="s">
        <v>89</v>
      </c>
      <c r="R58" s="182">
        <f>R57-R55</f>
        <v>-13651184.079999894</v>
      </c>
      <c r="S58" s="182">
        <f>S57-S55</f>
        <v>-13651184.029999897</v>
      </c>
      <c r="T58" s="182">
        <f>T57-T55</f>
        <v>0.32000002264976501</v>
      </c>
      <c r="U58" s="182">
        <f t="shared" ref="U58:W58" si="10">U57-U55</f>
        <v>-0.25000002980232239</v>
      </c>
      <c r="V58" s="182">
        <f t="shared" si="10"/>
        <v>0.29000002145767212</v>
      </c>
      <c r="W58" s="182">
        <f t="shared" si="10"/>
        <v>0.47999998927116394</v>
      </c>
    </row>
    <row r="59" spans="1:25" x14ac:dyDescent="0.2"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5"/>
    </row>
    <row r="60" spans="1:25" x14ac:dyDescent="0.2"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5"/>
    </row>
    <row r="61" spans="1:25" x14ac:dyDescent="0.2">
      <c r="A61" s="160"/>
      <c r="B61" s="184"/>
      <c r="C61" s="184"/>
      <c r="D61" s="184"/>
      <c r="E61" s="184"/>
      <c r="F61" s="184"/>
      <c r="G61" s="184"/>
      <c r="N61" s="185"/>
    </row>
    <row r="62" spans="1:25" x14ac:dyDescent="0.2"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5"/>
    </row>
    <row r="63" spans="1:25" x14ac:dyDescent="0.2"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5"/>
      <c r="O63" s="184"/>
    </row>
    <row r="64" spans="1:25" x14ac:dyDescent="0.2"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5"/>
    </row>
    <row r="65" spans="2:14" x14ac:dyDescent="0.2"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5"/>
    </row>
    <row r="66" spans="2:14" x14ac:dyDescent="0.2"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5"/>
    </row>
    <row r="67" spans="2:14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8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Q1</vt:lpstr>
      <vt:lpstr>Q2</vt:lpstr>
      <vt:lpstr>Q3 </vt:lpstr>
      <vt:lpstr>Q4 20212022</vt:lpstr>
      <vt:lpstr>Q3 2022-2023</vt:lpstr>
      <vt:lpstr>'Q1'!Print_Area</vt:lpstr>
      <vt:lpstr>'Q2'!Print_Area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Mikateko P Makhubela</dc:creator>
  <cp:lastModifiedBy>Mokgadi Sono</cp:lastModifiedBy>
  <cp:lastPrinted>2020-02-11T10:04:29Z</cp:lastPrinted>
  <dcterms:created xsi:type="dcterms:W3CDTF">2017-12-21T08:49:16Z</dcterms:created>
  <dcterms:modified xsi:type="dcterms:W3CDTF">2023-05-16T18:20:38Z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2022-11-10T04:35:58Z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58c0ea7b-45c3-40cf-be91-0c26ee1a3b07</vt:lpwstr>
  </property>
  <property fmtid="{D5CDD505-2E9C-101B-9397-08002B2CF9AE}" pid="8" name="MSIP_Label_616f4fcd-8401-41c8-bfac-a60235e9eb06_ContentBits">
    <vt:lpwstr>0</vt:lpwstr>
  </property>
</Properties>
</file>